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rek.rocha\Documents\"/>
    </mc:Choice>
  </mc:AlternateContent>
  <xr:revisionPtr revIDLastSave="0" documentId="8_{CD0AB1EF-3017-489F-8B6F-126C3D4DC420}" xr6:coauthVersionLast="47" xr6:coauthVersionMax="47" xr10:uidLastSave="{00000000-0000-0000-0000-000000000000}"/>
  <bookViews>
    <workbookView xWindow="-120" yWindow="-120" windowWidth="29040" windowHeight="15720" xr2:uid="{243BBCA8-BE17-4AA8-9931-E71433D626F1}"/>
  </bookViews>
  <sheets>
    <sheet name="ES DIGITAL" sheetId="2" r:id="rId1"/>
    <sheet name="Memória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D3" i="1" l="1"/>
  <c r="K23" i="1"/>
  <c r="H21" i="1"/>
  <c r="G13" i="1"/>
  <c r="C26" i="1"/>
  <c r="D5" i="1"/>
  <c r="D8" i="1"/>
  <c r="D72" i="1"/>
  <c r="D73" i="1"/>
  <c r="H47" i="1" l="1"/>
  <c r="G47" i="1"/>
  <c r="G46" i="1"/>
  <c r="H46" i="1"/>
  <c r="D71" i="1"/>
  <c r="H45" i="1"/>
  <c r="D70" i="1"/>
  <c r="H44" i="1"/>
  <c r="G44" i="1"/>
  <c r="D69" i="1"/>
  <c r="D68" i="1"/>
  <c r="D67" i="1"/>
  <c r="H43" i="1"/>
  <c r="H42" i="1"/>
  <c r="G42" i="1"/>
  <c r="G41" i="1"/>
  <c r="H41" i="1" s="1"/>
  <c r="D66" i="1"/>
  <c r="D64" i="1"/>
  <c r="D65" i="1"/>
  <c r="D63" i="1"/>
  <c r="G40" i="1"/>
  <c r="H40" i="1" s="1"/>
  <c r="D62" i="1"/>
  <c r="H39" i="1"/>
  <c r="G39" i="1"/>
  <c r="D61" i="1"/>
  <c r="D60" i="1"/>
  <c r="H38" i="1"/>
  <c r="G38" i="1"/>
  <c r="C58" i="1"/>
  <c r="D58" i="1"/>
  <c r="D59" i="1"/>
  <c r="H37" i="1"/>
  <c r="G37" i="1"/>
  <c r="D56" i="1"/>
  <c r="D57" i="1"/>
  <c r="C57" i="1"/>
  <c r="H36" i="1"/>
  <c r="G36" i="1"/>
  <c r="H35" i="1"/>
  <c r="G35" i="1"/>
  <c r="D55" i="1"/>
  <c r="D51" i="1"/>
  <c r="D53" i="1"/>
  <c r="D52" i="1"/>
  <c r="D54" i="1"/>
  <c r="C54" i="1"/>
  <c r="H34" i="1"/>
  <c r="G34" i="1"/>
  <c r="H33" i="1"/>
  <c r="G33" i="1"/>
  <c r="D50" i="1"/>
  <c r="C50" i="1"/>
  <c r="H32" i="1"/>
  <c r="G32" i="1"/>
  <c r="D49" i="1"/>
  <c r="C49" i="1"/>
  <c r="H31" i="1"/>
  <c r="G31" i="1"/>
  <c r="D48" i="1"/>
  <c r="H30" i="1"/>
  <c r="G30" i="1"/>
  <c r="D47" i="1"/>
  <c r="C47" i="1"/>
  <c r="H29" i="1"/>
  <c r="G29" i="1"/>
  <c r="D46" i="1"/>
  <c r="C46" i="1"/>
  <c r="D45" i="1"/>
  <c r="C45" i="1"/>
  <c r="G28" i="1"/>
  <c r="H28" i="1"/>
  <c r="H27" i="1"/>
  <c r="G27" i="1"/>
  <c r="D44" i="1"/>
  <c r="D43" i="1"/>
  <c r="C43" i="1"/>
  <c r="H26" i="1"/>
  <c r="G26" i="1"/>
  <c r="D42" i="1"/>
  <c r="C42" i="1"/>
  <c r="D41" i="1"/>
  <c r="C41" i="1"/>
  <c r="C39" i="1"/>
  <c r="D39" i="1"/>
  <c r="D40" i="1"/>
  <c r="C40" i="1"/>
  <c r="H25" i="1"/>
  <c r="G25" i="1"/>
  <c r="D38" i="1"/>
  <c r="C38" i="1"/>
  <c r="D37" i="1"/>
  <c r="G24" i="1"/>
  <c r="H24" i="1" s="1"/>
  <c r="D36" i="1"/>
  <c r="C36" i="1"/>
  <c r="D34" i="1"/>
  <c r="C34" i="1"/>
  <c r="D35" i="1"/>
  <c r="H23" i="1" l="1"/>
  <c r="D33" i="1"/>
  <c r="C33" i="1"/>
  <c r="H22" i="1"/>
  <c r="G22" i="1"/>
  <c r="D32" i="1"/>
  <c r="C32" i="1"/>
  <c r="G21" i="1"/>
  <c r="D31" i="1"/>
  <c r="C31" i="1"/>
  <c r="D30" i="1"/>
  <c r="C30" i="1"/>
  <c r="C28" i="1"/>
  <c r="C27" i="1"/>
  <c r="D28" i="1"/>
  <c r="D29" i="1" l="1"/>
  <c r="D27" i="1"/>
  <c r="D26" i="1"/>
  <c r="D25" i="1"/>
  <c r="C25" i="1"/>
  <c r="C23" i="1"/>
  <c r="D23" i="1" s="1"/>
  <c r="C22" i="1"/>
  <c r="G20" i="1"/>
  <c r="H20" i="1"/>
  <c r="D24" i="1"/>
  <c r="C24" i="1"/>
  <c r="H19" i="1" l="1"/>
  <c r="G19" i="1"/>
  <c r="D22" i="1"/>
  <c r="H18" i="1"/>
  <c r="G17" i="1"/>
  <c r="H17" i="1" l="1"/>
  <c r="D21" i="1"/>
  <c r="C21" i="1"/>
  <c r="D20" i="1"/>
  <c r="K3" i="1" s="1"/>
  <c r="K9" i="1" s="1"/>
  <c r="H16" i="1"/>
  <c r="H15" i="1"/>
  <c r="D19" i="1"/>
  <c r="C19" i="1"/>
  <c r="H14" i="1"/>
  <c r="H13" i="1"/>
  <c r="D18" i="1"/>
  <c r="C18" i="1"/>
  <c r="H12" i="1"/>
  <c r="G12" i="1"/>
  <c r="D17" i="1"/>
  <c r="C17" i="1"/>
  <c r="H11" i="1"/>
  <c r="G11" i="1"/>
  <c r="D16" i="1"/>
  <c r="C16" i="1"/>
  <c r="D15" i="1"/>
  <c r="C15" i="1"/>
  <c r="H10" i="1"/>
  <c r="G10" i="1"/>
  <c r="D14" i="1"/>
  <c r="C14" i="1"/>
  <c r="H9" i="1"/>
  <c r="G9" i="1"/>
  <c r="D13" i="1"/>
  <c r="C13" i="1"/>
  <c r="D12" i="1"/>
  <c r="C12" i="1"/>
  <c r="D11" i="1"/>
  <c r="C11" i="1"/>
  <c r="D10" i="1"/>
  <c r="C10" i="1"/>
  <c r="H8" i="1"/>
  <c r="D9" i="1" l="1"/>
  <c r="C9" i="1"/>
  <c r="C8" i="1"/>
  <c r="H7" i="1"/>
  <c r="G7" i="1"/>
  <c r="H6" i="1"/>
  <c r="G6" i="1"/>
  <c r="C7" i="1" l="1"/>
  <c r="D7" i="1" l="1"/>
  <c r="H5" i="1" l="1"/>
  <c r="H4" i="1"/>
  <c r="H3" i="1"/>
  <c r="G5" i="1"/>
  <c r="D4" i="1"/>
  <c r="C5" i="1"/>
  <c r="C4" i="1"/>
  <c r="D6" i="1"/>
  <c r="C6" i="1"/>
  <c r="C3" i="1" l="1"/>
</calcChain>
</file>

<file path=xl/sharedStrings.xml><?xml version="1.0" encoding="utf-8"?>
<sst xmlns="http://schemas.openxmlformats.org/spreadsheetml/2006/main" count="284" uniqueCount="154">
  <si>
    <t>Medição</t>
  </si>
  <si>
    <t>Valor</t>
  </si>
  <si>
    <t>E-DOCS</t>
  </si>
  <si>
    <t>Data</t>
  </si>
  <si>
    <t>Net Service</t>
  </si>
  <si>
    <t>Fraga de Medeiros</t>
  </si>
  <si>
    <t>UPR</t>
  </si>
  <si>
    <t>2022-DQ675P</t>
  </si>
  <si>
    <t>2022-GH9G4N</t>
  </si>
  <si>
    <t>2022-0HDT9G</t>
  </si>
  <si>
    <t>2022-SCFJ09</t>
  </si>
  <si>
    <t>2022-PD2PFS</t>
  </si>
  <si>
    <t>2022-ZK3FFB</t>
  </si>
  <si>
    <t>2022-8MMXWC</t>
  </si>
  <si>
    <t xml:space="preserve">2022-Q539L0 </t>
  </si>
  <si>
    <t>2022-4VF695</t>
  </si>
  <si>
    <t>2022-7G03K1</t>
  </si>
  <si>
    <t>2022-06VFZQ</t>
  </si>
  <si>
    <t>2022-1K26VK</t>
  </si>
  <si>
    <t>Quant. UPR Inicial</t>
  </si>
  <si>
    <t>2022-SHQR2L</t>
  </si>
  <si>
    <t>2022-CBH31B</t>
  </si>
  <si>
    <t>2023-VVDPNL</t>
  </si>
  <si>
    <t>2023-BMRM0W</t>
  </si>
  <si>
    <t xml:space="preserve">2023-H7576L </t>
  </si>
  <si>
    <t>2023-6C95CR</t>
  </si>
  <si>
    <t>2023-1ZB9TR</t>
  </si>
  <si>
    <t>2023-K2Q1D0</t>
  </si>
  <si>
    <t>2023-M7FZXG</t>
  </si>
  <si>
    <t>2023-34QFJV</t>
  </si>
  <si>
    <t>2023-CQJVHX</t>
  </si>
  <si>
    <t>2023-GQCRWP</t>
  </si>
  <si>
    <t>2023-2K9646</t>
  </si>
  <si>
    <t>2023-M46XJ8</t>
  </si>
  <si>
    <t>2023-66RJKZ</t>
  </si>
  <si>
    <t>2023-KSGZL4</t>
  </si>
  <si>
    <t xml:space="preserve">2023-3NM444 </t>
  </si>
  <si>
    <t>2023-ZJD47N</t>
  </si>
  <si>
    <t>2023-425KH6</t>
  </si>
  <si>
    <t xml:space="preserve"> 2023-2J12X6</t>
  </si>
  <si>
    <t>2023-Q9B60B</t>
  </si>
  <si>
    <t>2023-MMMC0B</t>
  </si>
  <si>
    <t>2023-061VS5</t>
  </si>
  <si>
    <t>2023-X8FXWH</t>
  </si>
  <si>
    <t>2023-LGR334</t>
  </si>
  <si>
    <t>2023-4SHVD0</t>
  </si>
  <si>
    <t>2023-LX7CBR</t>
  </si>
  <si>
    <t xml:space="preserve"> 2023-RWPJ2G</t>
  </si>
  <si>
    <t>2023-4WGV8T</t>
  </si>
  <si>
    <t>2023-2C0BZ1</t>
  </si>
  <si>
    <t>2023-F1RGZB</t>
  </si>
  <si>
    <t>2024-G7DWXZ</t>
  </si>
  <si>
    <t>2024-Q9V9F4</t>
  </si>
  <si>
    <t>2024-D1LDVJ</t>
  </si>
  <si>
    <t>2024-2P4M7W</t>
  </si>
  <si>
    <t>2024-WQ0C93</t>
  </si>
  <si>
    <t>1º Apostilamento</t>
  </si>
  <si>
    <t>2º Apostilamento</t>
  </si>
  <si>
    <t>2024-BFLQ9D</t>
  </si>
  <si>
    <t>-</t>
  </si>
  <si>
    <t>Correção 19ª Medição</t>
  </si>
  <si>
    <t>2024-XH5SDG</t>
  </si>
  <si>
    <t>2024-92FXRS</t>
  </si>
  <si>
    <t>2024-GFWMRF</t>
  </si>
  <si>
    <t>2024-MV6MVH</t>
  </si>
  <si>
    <t>2024-PH2LGP</t>
  </si>
  <si>
    <t>2024-SQS7JP</t>
  </si>
  <si>
    <t>2024-T68WTP</t>
  </si>
  <si>
    <t>2024-DFPQ0B</t>
  </si>
  <si>
    <t>2024-GXT28K</t>
  </si>
  <si>
    <t>2024-V6XDFZ</t>
  </si>
  <si>
    <t xml:space="preserve">2024-590P3L </t>
  </si>
  <si>
    <t>2024-876S1P</t>
  </si>
  <si>
    <t>2024-H7MTMB</t>
  </si>
  <si>
    <t>2024-BC8CQT</t>
  </si>
  <si>
    <t>2024-W2J4NC</t>
  </si>
  <si>
    <t>2024-LWP2BS</t>
  </si>
  <si>
    <t>2024-HZ4WCZ</t>
  </si>
  <si>
    <t>2024-7TC0MG</t>
  </si>
  <si>
    <t>2024-9JKGX6</t>
  </si>
  <si>
    <t>2024-HQJ6S6</t>
  </si>
  <si>
    <t>2024-7DW2W7</t>
  </si>
  <si>
    <t>2024-NRRXPS</t>
  </si>
  <si>
    <t>2024-8C61XX</t>
  </si>
  <si>
    <t>2024-VD4MJT</t>
  </si>
  <si>
    <t>2024-T2RG12</t>
  </si>
  <si>
    <t>2024-MP8HMM</t>
  </si>
  <si>
    <t>2024-K3JFCN</t>
  </si>
  <si>
    <t xml:space="preserve">2024-SWC83Q </t>
  </si>
  <si>
    <t xml:space="preserve">2024-ZPZ6B6 </t>
  </si>
  <si>
    <t>2024-HLM8XS</t>
  </si>
  <si>
    <t>2024-XHP0VS</t>
  </si>
  <si>
    <t xml:space="preserve"> 2024-F3LDLZ</t>
  </si>
  <si>
    <t>2024-Z0H34S</t>
  </si>
  <si>
    <t xml:space="preserve">2024-M5FPR3 </t>
  </si>
  <si>
    <t>2024-LDCD57</t>
  </si>
  <si>
    <t>2024-8LMN48</t>
  </si>
  <si>
    <t>2024-RV8265</t>
  </si>
  <si>
    <t>2024-HKS3FF</t>
  </si>
  <si>
    <t>2024-MV7RQM</t>
  </si>
  <si>
    <t>2024-QC3PTB</t>
  </si>
  <si>
    <t>2024-MJWFR7</t>
  </si>
  <si>
    <t>2024-85DL5B</t>
  </si>
  <si>
    <t>2024-JJMLQQ</t>
  </si>
  <si>
    <t>2025-4RFWH5</t>
  </si>
  <si>
    <t>2025-J6GN65</t>
  </si>
  <si>
    <t>2025-CS20QV</t>
  </si>
  <si>
    <t>2025-DQXBD4</t>
  </si>
  <si>
    <t>2025-3PHS0H</t>
  </si>
  <si>
    <t xml:space="preserve"> 2025-6D0CZM</t>
  </si>
  <si>
    <t>2025-LFSS0P</t>
  </si>
  <si>
    <t xml:space="preserve">2025-R49BMV </t>
  </si>
  <si>
    <t>2025-ZVXWR1</t>
  </si>
  <si>
    <t>2025-P5RL9B</t>
  </si>
  <si>
    <t xml:space="preserve">2025-SRR4C1 </t>
  </si>
  <si>
    <t>2025-VT55XR</t>
  </si>
  <si>
    <t>2025-RCV95K</t>
  </si>
  <si>
    <t>2025-C83GT4</t>
  </si>
  <si>
    <t>3º Apostilamento</t>
  </si>
  <si>
    <t>2025-PV4SPT</t>
  </si>
  <si>
    <t>2025-W8WWLG</t>
  </si>
  <si>
    <t>2025-17VK6V</t>
  </si>
  <si>
    <t>OBRA</t>
  </si>
  <si>
    <t>PROCESSO E-DOCS</t>
  </si>
  <si>
    <t>PAGO</t>
  </si>
  <si>
    <t>STATUS</t>
  </si>
  <si>
    <t>PRAZO DE EXECUÇÃO</t>
  </si>
  <si>
    <t>LINK PARA CONTRATO</t>
  </si>
  <si>
    <t>ATUALIZADO</t>
  </si>
  <si>
    <t>DATA DE INÍCIO</t>
  </si>
  <si>
    <t>REDE DE FIBRA ÓPTICA  ES-DIGITAL</t>
  </si>
  <si>
    <t>2020-37X1B</t>
  </si>
  <si>
    <t>PREÇO INICIAL</t>
  </si>
  <si>
    <t>Nº</t>
  </si>
  <si>
    <t>FRAGA DE MEDEIROS</t>
  </si>
  <si>
    <t>NET SERVICE</t>
  </si>
  <si>
    <t>Em execução</t>
  </si>
  <si>
    <t>https://e-docs.es.gov.br/Processo/Protocolo/2020-37X1B</t>
  </si>
  <si>
    <t>2024-Q6M14F</t>
  </si>
  <si>
    <t>2022-HHJ9N3
2023-DQ4FPM 
2025-MHB3WP</t>
  </si>
  <si>
    <t>APOSTILAMENTOS</t>
  </si>
  <si>
    <t>ADITIVOS</t>
  </si>
  <si>
    <t>MEDIÇÕES DO CONSÓRCIO - E-DOCS</t>
  </si>
  <si>
    <t>Total</t>
  </si>
  <si>
    <t>Diferença</t>
  </si>
  <si>
    <t>Real Pago</t>
  </si>
  <si>
    <t>PREÇO ATUAL</t>
  </si>
  <si>
    <t>* O percentual executado foi calculado levando em consideração o quantitativo de UPR´s consumidas sobre o quantitativo de UPR´s contratadas, acrescidas do aditivo de 25%.</t>
  </si>
  <si>
    <t>PERCENTUAL EXECUTADO (*)</t>
  </si>
  <si>
    <t>Governo do Estado do Espírito Santo</t>
  </si>
  <si>
    <t>Secretaria de Estado de Gestão e Recursos Humanos – SEGER</t>
  </si>
  <si>
    <t>Instituto de Tecnologia da Informação e Comunicação do Estado do Espírito Santo</t>
  </si>
  <si>
    <t>2020-37X1B - ARP 003/2021 - CONSÓRCIO FRAGANET - ES-DIGITAL - CONTRATO 0025/2021</t>
  </si>
  <si>
    <t>LOCAL: PRODEST - Av. João Batista Parra, 465 - Enseada do Suá, Vitória - ES, 29050-925
DATA DE ATUALIZAÇÃO: 29/05/2025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</si>
</sst>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\ * #,##0.0000_-;\-&quot;R$&quot;\ * #,##0.0000_-;_-&quot;R$&quot;\ 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9" tint="-0.2499465926084170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2" fillId="0" borderId="0" xfId="2" applyFont="1" applyAlignment="1">
      <alignment horizontal="center"/>
    </xf>
    <xf numFmtId="44" fontId="0" fillId="0" borderId="0" xfId="2" applyFont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2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44" fontId="3" fillId="0" borderId="0" xfId="2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44" fontId="0" fillId="0" borderId="0" xfId="0" applyNumberFormat="1"/>
    <xf numFmtId="44" fontId="5" fillId="0" borderId="0" xfId="0" applyNumberFormat="1" applyFont="1"/>
    <xf numFmtId="165" fontId="1" fillId="0" borderId="0" xfId="1" applyNumberFormat="1" applyFont="1" applyAlignment="1">
      <alignment horizontal="center"/>
    </xf>
    <xf numFmtId="10" fontId="0" fillId="0" borderId="0" xfId="3" applyNumberFormat="1" applyFont="1"/>
    <xf numFmtId="165" fontId="0" fillId="0" borderId="0" xfId="0" applyNumberFormat="1"/>
    <xf numFmtId="8" fontId="0" fillId="0" borderId="0" xfId="0" applyNumberFormat="1"/>
    <xf numFmtId="0" fontId="2" fillId="0" borderId="0" xfId="0" applyFont="1"/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1" xfId="4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8" fontId="0" fillId="0" borderId="2" xfId="0" applyNumberFormat="1" applyBorder="1" applyAlignment="1">
      <alignment horizontal="center" vertical="center" wrapText="1"/>
    </xf>
    <xf numFmtId="8" fontId="0" fillId="0" borderId="3" xfId="0" applyNumberFormat="1" applyBorder="1" applyAlignment="1">
      <alignment horizontal="center" vertical="center" wrapText="1"/>
    </xf>
    <xf numFmtId="8" fontId="0" fillId="0" borderId="4" xfId="0" applyNumberFormat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5">
    <cellStyle name="Hiperlink" xfId="4" builtinId="8"/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123825</xdr:rowOff>
    </xdr:from>
    <xdr:to>
      <xdr:col>0</xdr:col>
      <xdr:colOff>1257300</xdr:colOff>
      <xdr:row>3</xdr:row>
      <xdr:rowOff>161414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4FDBA38-C70E-499C-A4FE-57AB7F9A1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028700" cy="63766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180975</xdr:colOff>
      <xdr:row>0</xdr:row>
      <xdr:rowOff>123825</xdr:rowOff>
    </xdr:from>
    <xdr:to>
      <xdr:col>15</xdr:col>
      <xdr:colOff>832410</xdr:colOff>
      <xdr:row>3</xdr:row>
      <xdr:rowOff>264292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AA6C32D2-ECA9-4E30-AC39-FAE53ABE1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3475" y="123825"/>
          <a:ext cx="651435" cy="740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-docs.es.gov.br/Processo/Protocolo/2020-37X1B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B4DFC-D6B4-48EC-8825-8BABCDDC030B}">
  <dimension ref="A1:P89"/>
  <sheetViews>
    <sheetView showGridLines="0" tabSelected="1" workbookViewId="0">
      <pane ySplit="8" topLeftCell="A30" activePane="bottomLeft" state="frozen"/>
      <selection pane="bottomLeft" activeCell="A5" sqref="A5:P6"/>
    </sheetView>
  </sheetViews>
  <sheetFormatPr defaultRowHeight="15" x14ac:dyDescent="0.25"/>
  <cols>
    <col min="1" max="1" width="21.140625" customWidth="1"/>
    <col min="2" max="2" width="10.7109375" customWidth="1"/>
    <col min="3" max="3" width="12" bestFit="1" customWidth="1"/>
    <col min="4" max="5" width="16" customWidth="1"/>
    <col min="6" max="6" width="17.5703125" customWidth="1"/>
    <col min="7" max="7" width="16.85546875" customWidth="1"/>
    <col min="8" max="8" width="17.140625" customWidth="1"/>
    <col min="9" max="9" width="16.5703125" customWidth="1"/>
    <col min="10" max="10" width="18.140625" customWidth="1"/>
    <col min="11" max="11" width="7" style="2" customWidth="1"/>
    <col min="12" max="12" width="15.5703125" customWidth="1"/>
    <col min="13" max="13" width="16.28515625" customWidth="1"/>
    <col min="14" max="14" width="18.140625" customWidth="1"/>
    <col min="15" max="15" width="23.7109375" customWidth="1"/>
    <col min="16" max="16" width="19" customWidth="1"/>
  </cols>
  <sheetData>
    <row r="1" spans="1:16" ht="15.75" x14ac:dyDescent="0.25">
      <c r="A1" s="34" t="s">
        <v>149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5.75" x14ac:dyDescent="0.25">
      <c r="A2" s="34" t="s">
        <v>150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5.75" x14ac:dyDescent="0.25">
      <c r="A3" s="34" t="s">
        <v>151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27" customHeight="1" thickBot="1" x14ac:dyDescent="0.3"/>
    <row r="5" spans="1:16" ht="15.75" thickTop="1" x14ac:dyDescent="0.25">
      <c r="A5" s="31" t="s">
        <v>153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s="15" customFormat="1" ht="18.75" customHeight="1" x14ac:dyDescent="0.25">
      <c r="A7" s="48" t="s">
        <v>122</v>
      </c>
      <c r="B7" s="41" t="s">
        <v>123</v>
      </c>
      <c r="C7" s="41" t="s">
        <v>129</v>
      </c>
      <c r="D7" s="41" t="s">
        <v>132</v>
      </c>
      <c r="E7" s="41" t="s">
        <v>146</v>
      </c>
      <c r="F7" s="41" t="s">
        <v>124</v>
      </c>
      <c r="G7" s="41" t="s">
        <v>148</v>
      </c>
      <c r="H7" s="41" t="s">
        <v>125</v>
      </c>
      <c r="I7" s="41" t="s">
        <v>126</v>
      </c>
      <c r="J7" s="41" t="s">
        <v>127</v>
      </c>
      <c r="K7" s="41" t="s">
        <v>142</v>
      </c>
      <c r="L7" s="41"/>
      <c r="M7" s="41"/>
      <c r="N7" s="41" t="s">
        <v>141</v>
      </c>
      <c r="O7" s="41" t="s">
        <v>140</v>
      </c>
      <c r="P7" s="41" t="s">
        <v>128</v>
      </c>
    </row>
    <row r="8" spans="1:16" s="15" customFormat="1" ht="30" x14ac:dyDescent="0.25">
      <c r="A8" s="49"/>
      <c r="B8" s="41"/>
      <c r="C8" s="41"/>
      <c r="D8" s="41"/>
      <c r="E8" s="41"/>
      <c r="F8" s="41"/>
      <c r="G8" s="41"/>
      <c r="H8" s="41"/>
      <c r="I8" s="41"/>
      <c r="J8" s="41"/>
      <c r="K8" s="18" t="s">
        <v>133</v>
      </c>
      <c r="L8" s="18" t="s">
        <v>134</v>
      </c>
      <c r="M8" s="18" t="s">
        <v>135</v>
      </c>
      <c r="N8" s="41"/>
      <c r="O8" s="41"/>
      <c r="P8" s="41"/>
    </row>
    <row r="9" spans="1:16" s="15" customFormat="1" ht="32.25" customHeight="1" x14ac:dyDescent="0.25">
      <c r="A9" s="35" t="s">
        <v>152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7"/>
    </row>
    <row r="10" spans="1:16" s="17" customFormat="1" ht="30" customHeight="1" x14ac:dyDescent="0.25">
      <c r="A10" s="39" t="s">
        <v>130</v>
      </c>
      <c r="B10" s="39" t="s">
        <v>131</v>
      </c>
      <c r="C10" s="40">
        <v>44467</v>
      </c>
      <c r="D10" s="42">
        <v>48543487.520000003</v>
      </c>
      <c r="E10" s="44">
        <v>71261737.829999998</v>
      </c>
      <c r="F10" s="43">
        <v>49231226.229999997</v>
      </c>
      <c r="G10" s="47">
        <f>(SUM(Memória!C3:C83,Memória!G3:G83))/(56439353*1.25)</f>
        <v>0.72390225644152939</v>
      </c>
      <c r="H10" s="39" t="s">
        <v>136</v>
      </c>
      <c r="I10" s="40">
        <v>46295</v>
      </c>
      <c r="J10" s="38" t="s">
        <v>137</v>
      </c>
      <c r="K10" s="19">
        <v>1</v>
      </c>
      <c r="L10" s="20" t="s">
        <v>8</v>
      </c>
      <c r="M10" s="20" t="s">
        <v>7</v>
      </c>
      <c r="N10" s="39" t="s">
        <v>138</v>
      </c>
      <c r="O10" s="39" t="s">
        <v>139</v>
      </c>
      <c r="P10" s="40">
        <v>45803</v>
      </c>
    </row>
    <row r="11" spans="1:16" s="14" customFormat="1" x14ac:dyDescent="0.25">
      <c r="A11" s="39"/>
      <c r="B11" s="39"/>
      <c r="C11" s="40"/>
      <c r="D11" s="42"/>
      <c r="E11" s="45"/>
      <c r="F11" s="39"/>
      <c r="G11" s="47"/>
      <c r="H11" s="39"/>
      <c r="I11" s="39"/>
      <c r="J11" s="39"/>
      <c r="K11" s="21">
        <v>2</v>
      </c>
      <c r="L11" s="20" t="s">
        <v>9</v>
      </c>
      <c r="M11" s="20" t="s">
        <v>11</v>
      </c>
      <c r="N11" s="39"/>
      <c r="O11" s="39"/>
      <c r="P11" s="40"/>
    </row>
    <row r="12" spans="1:16" s="14" customFormat="1" x14ac:dyDescent="0.25">
      <c r="A12" s="39"/>
      <c r="B12" s="39"/>
      <c r="C12" s="40"/>
      <c r="D12" s="42"/>
      <c r="E12" s="45"/>
      <c r="F12" s="39"/>
      <c r="G12" s="47"/>
      <c r="H12" s="39"/>
      <c r="I12" s="39"/>
      <c r="J12" s="39"/>
      <c r="K12" s="19">
        <v>3</v>
      </c>
      <c r="L12" s="20" t="s">
        <v>9</v>
      </c>
      <c r="M12" s="20" t="s">
        <v>12</v>
      </c>
      <c r="N12" s="39"/>
      <c r="O12" s="39"/>
      <c r="P12" s="40"/>
    </row>
    <row r="13" spans="1:16" s="14" customFormat="1" x14ac:dyDescent="0.25">
      <c r="A13" s="39"/>
      <c r="B13" s="39"/>
      <c r="C13" s="40"/>
      <c r="D13" s="42"/>
      <c r="E13" s="45"/>
      <c r="F13" s="39"/>
      <c r="G13" s="47"/>
      <c r="H13" s="39"/>
      <c r="I13" s="39"/>
      <c r="J13" s="39"/>
      <c r="K13" s="21">
        <v>4</v>
      </c>
      <c r="L13" s="20" t="s">
        <v>10</v>
      </c>
      <c r="M13" s="20" t="s">
        <v>14</v>
      </c>
      <c r="N13" s="39"/>
      <c r="O13" s="39"/>
      <c r="P13" s="40"/>
    </row>
    <row r="14" spans="1:16" s="14" customFormat="1" x14ac:dyDescent="0.25">
      <c r="A14" s="39"/>
      <c r="B14" s="39"/>
      <c r="C14" s="40"/>
      <c r="D14" s="42"/>
      <c r="E14" s="45"/>
      <c r="F14" s="39"/>
      <c r="G14" s="47"/>
      <c r="H14" s="39"/>
      <c r="I14" s="39"/>
      <c r="J14" s="39"/>
      <c r="K14" s="19">
        <v>5</v>
      </c>
      <c r="L14" s="20" t="s">
        <v>13</v>
      </c>
      <c r="M14" s="20" t="s">
        <v>15</v>
      </c>
      <c r="N14" s="39"/>
      <c r="O14" s="39"/>
      <c r="P14" s="40"/>
    </row>
    <row r="15" spans="1:16" s="14" customFormat="1" x14ac:dyDescent="0.25">
      <c r="A15" s="39"/>
      <c r="B15" s="39"/>
      <c r="C15" s="40"/>
      <c r="D15" s="42"/>
      <c r="E15" s="45"/>
      <c r="F15" s="39"/>
      <c r="G15" s="47"/>
      <c r="H15" s="39"/>
      <c r="I15" s="39"/>
      <c r="J15" s="39"/>
      <c r="K15" s="21">
        <v>6</v>
      </c>
      <c r="L15" s="20" t="s">
        <v>16</v>
      </c>
      <c r="M15" s="20" t="s">
        <v>18</v>
      </c>
      <c r="N15" s="39"/>
      <c r="O15" s="39"/>
      <c r="P15" s="40"/>
    </row>
    <row r="16" spans="1:16" s="14" customFormat="1" x14ac:dyDescent="0.25">
      <c r="A16" s="39"/>
      <c r="B16" s="39"/>
      <c r="C16" s="40"/>
      <c r="D16" s="42"/>
      <c r="E16" s="45"/>
      <c r="F16" s="39"/>
      <c r="G16" s="47"/>
      <c r="H16" s="39"/>
      <c r="I16" s="39"/>
      <c r="J16" s="39"/>
      <c r="K16" s="19">
        <v>7</v>
      </c>
      <c r="L16" s="20" t="s">
        <v>17</v>
      </c>
      <c r="M16" s="20" t="s">
        <v>24</v>
      </c>
      <c r="N16" s="39"/>
      <c r="O16" s="39"/>
      <c r="P16" s="40"/>
    </row>
    <row r="17" spans="1:16" s="14" customFormat="1" x14ac:dyDescent="0.25">
      <c r="A17" s="39"/>
      <c r="B17" s="39"/>
      <c r="C17" s="40"/>
      <c r="D17" s="42"/>
      <c r="E17" s="45"/>
      <c r="F17" s="39"/>
      <c r="G17" s="47"/>
      <c r="H17" s="39"/>
      <c r="I17" s="39"/>
      <c r="J17" s="39"/>
      <c r="K17" s="21">
        <v>8</v>
      </c>
      <c r="L17" s="20" t="s">
        <v>20</v>
      </c>
      <c r="M17" s="20" t="s">
        <v>26</v>
      </c>
      <c r="N17" s="39"/>
      <c r="O17" s="39"/>
      <c r="P17" s="40"/>
    </row>
    <row r="18" spans="1:16" s="14" customFormat="1" x14ac:dyDescent="0.25">
      <c r="A18" s="39"/>
      <c r="B18" s="39"/>
      <c r="C18" s="40"/>
      <c r="D18" s="42"/>
      <c r="E18" s="45"/>
      <c r="F18" s="39"/>
      <c r="G18" s="47"/>
      <c r="H18" s="39"/>
      <c r="I18" s="39"/>
      <c r="J18" s="39"/>
      <c r="K18" s="19">
        <v>9</v>
      </c>
      <c r="L18" s="20" t="s">
        <v>21</v>
      </c>
      <c r="M18" s="20" t="s">
        <v>29</v>
      </c>
      <c r="N18" s="39"/>
      <c r="O18" s="39"/>
      <c r="P18" s="40"/>
    </row>
    <row r="19" spans="1:16" s="14" customFormat="1" x14ac:dyDescent="0.25">
      <c r="A19" s="39"/>
      <c r="B19" s="39"/>
      <c r="C19" s="40"/>
      <c r="D19" s="42"/>
      <c r="E19" s="45"/>
      <c r="F19" s="39"/>
      <c r="G19" s="47"/>
      <c r="H19" s="39"/>
      <c r="I19" s="39"/>
      <c r="J19" s="39"/>
      <c r="K19" s="21">
        <v>10</v>
      </c>
      <c r="L19" s="20" t="s">
        <v>22</v>
      </c>
      <c r="M19" s="20" t="s">
        <v>31</v>
      </c>
      <c r="N19" s="39"/>
      <c r="O19" s="39"/>
      <c r="P19" s="40"/>
    </row>
    <row r="20" spans="1:16" s="14" customFormat="1" x14ac:dyDescent="0.25">
      <c r="A20" s="39"/>
      <c r="B20" s="39"/>
      <c r="C20" s="40"/>
      <c r="D20" s="42"/>
      <c r="E20" s="45"/>
      <c r="F20" s="39"/>
      <c r="G20" s="47"/>
      <c r="H20" s="39"/>
      <c r="I20" s="39"/>
      <c r="J20" s="39"/>
      <c r="K20" s="19">
        <v>11</v>
      </c>
      <c r="L20" s="20" t="s">
        <v>23</v>
      </c>
      <c r="M20" s="20" t="s">
        <v>33</v>
      </c>
      <c r="N20" s="39"/>
      <c r="O20" s="39"/>
      <c r="P20" s="40"/>
    </row>
    <row r="21" spans="1:16" s="14" customFormat="1" x14ac:dyDescent="0.25">
      <c r="A21" s="39"/>
      <c r="B21" s="39"/>
      <c r="C21" s="40"/>
      <c r="D21" s="42"/>
      <c r="E21" s="45"/>
      <c r="F21" s="39"/>
      <c r="G21" s="47"/>
      <c r="H21" s="39"/>
      <c r="I21" s="39"/>
      <c r="J21" s="39"/>
      <c r="K21" s="21">
        <v>12</v>
      </c>
      <c r="L21" s="20" t="s">
        <v>25</v>
      </c>
      <c r="M21" s="20" t="s">
        <v>34</v>
      </c>
      <c r="N21" s="39"/>
      <c r="O21" s="39"/>
      <c r="P21" s="40"/>
    </row>
    <row r="22" spans="1:16" s="14" customFormat="1" x14ac:dyDescent="0.25">
      <c r="A22" s="39"/>
      <c r="B22" s="39"/>
      <c r="C22" s="40"/>
      <c r="D22" s="42"/>
      <c r="E22" s="45"/>
      <c r="F22" s="39"/>
      <c r="G22" s="47"/>
      <c r="H22" s="39"/>
      <c r="I22" s="39"/>
      <c r="J22" s="39"/>
      <c r="K22" s="19">
        <v>13</v>
      </c>
      <c r="L22" s="20" t="s">
        <v>27</v>
      </c>
      <c r="M22" s="20" t="s">
        <v>36</v>
      </c>
      <c r="N22" s="39"/>
      <c r="O22" s="39"/>
      <c r="P22" s="40"/>
    </row>
    <row r="23" spans="1:16" s="14" customFormat="1" x14ac:dyDescent="0.25">
      <c r="A23" s="39"/>
      <c r="B23" s="39"/>
      <c r="C23" s="40"/>
      <c r="D23" s="42"/>
      <c r="E23" s="45"/>
      <c r="F23" s="39"/>
      <c r="G23" s="47"/>
      <c r="H23" s="39"/>
      <c r="I23" s="39"/>
      <c r="J23" s="39"/>
      <c r="K23" s="21">
        <v>14</v>
      </c>
      <c r="L23" s="20" t="s">
        <v>28</v>
      </c>
      <c r="M23" s="20" t="s">
        <v>37</v>
      </c>
      <c r="N23" s="39"/>
      <c r="O23" s="39"/>
      <c r="P23" s="40"/>
    </row>
    <row r="24" spans="1:16" s="14" customFormat="1" x14ac:dyDescent="0.25">
      <c r="A24" s="39"/>
      <c r="B24" s="39"/>
      <c r="C24" s="40"/>
      <c r="D24" s="42"/>
      <c r="E24" s="45"/>
      <c r="F24" s="39"/>
      <c r="G24" s="47"/>
      <c r="H24" s="39"/>
      <c r="I24" s="39"/>
      <c r="J24" s="39"/>
      <c r="K24" s="19">
        <v>15</v>
      </c>
      <c r="L24" s="20" t="s">
        <v>30</v>
      </c>
      <c r="M24" s="20" t="s">
        <v>40</v>
      </c>
      <c r="N24" s="39"/>
      <c r="O24" s="39"/>
      <c r="P24" s="40"/>
    </row>
    <row r="25" spans="1:16" s="14" customFormat="1" x14ac:dyDescent="0.25">
      <c r="A25" s="39"/>
      <c r="B25" s="39"/>
      <c r="C25" s="40"/>
      <c r="D25" s="42"/>
      <c r="E25" s="45"/>
      <c r="F25" s="39"/>
      <c r="G25" s="47"/>
      <c r="H25" s="39"/>
      <c r="I25" s="39"/>
      <c r="J25" s="39"/>
      <c r="K25" s="21">
        <v>16</v>
      </c>
      <c r="L25" s="20" t="s">
        <v>32</v>
      </c>
      <c r="M25" s="20" t="s">
        <v>41</v>
      </c>
      <c r="N25" s="39"/>
      <c r="O25" s="39"/>
      <c r="P25" s="40"/>
    </row>
    <row r="26" spans="1:16" s="14" customFormat="1" x14ac:dyDescent="0.25">
      <c r="A26" s="39"/>
      <c r="B26" s="39"/>
      <c r="C26" s="40"/>
      <c r="D26" s="42"/>
      <c r="E26" s="45"/>
      <c r="F26" s="39"/>
      <c r="G26" s="47"/>
      <c r="H26" s="39"/>
      <c r="I26" s="39"/>
      <c r="J26" s="39"/>
      <c r="K26" s="19">
        <v>17</v>
      </c>
      <c r="L26" s="20" t="s">
        <v>35</v>
      </c>
      <c r="M26" s="20" t="s">
        <v>43</v>
      </c>
      <c r="N26" s="39"/>
      <c r="O26" s="39"/>
      <c r="P26" s="40"/>
    </row>
    <row r="27" spans="1:16" s="14" customFormat="1" x14ac:dyDescent="0.25">
      <c r="A27" s="39"/>
      <c r="B27" s="39"/>
      <c r="C27" s="40"/>
      <c r="D27" s="42"/>
      <c r="E27" s="45"/>
      <c r="F27" s="39"/>
      <c r="G27" s="47"/>
      <c r="H27" s="39"/>
      <c r="I27" s="39"/>
      <c r="J27" s="39"/>
      <c r="K27" s="21">
        <v>18</v>
      </c>
      <c r="L27" s="20" t="s">
        <v>38</v>
      </c>
      <c r="M27" s="20" t="s">
        <v>45</v>
      </c>
      <c r="N27" s="39"/>
      <c r="O27" s="39"/>
      <c r="P27" s="40"/>
    </row>
    <row r="28" spans="1:16" s="14" customFormat="1" x14ac:dyDescent="0.25">
      <c r="A28" s="39"/>
      <c r="B28" s="39"/>
      <c r="C28" s="40"/>
      <c r="D28" s="42"/>
      <c r="E28" s="45"/>
      <c r="F28" s="39"/>
      <c r="G28" s="47"/>
      <c r="H28" s="39"/>
      <c r="I28" s="39"/>
      <c r="J28" s="39"/>
      <c r="K28" s="19">
        <v>19</v>
      </c>
      <c r="L28" s="20" t="s">
        <v>39</v>
      </c>
      <c r="M28" s="20" t="s">
        <v>52</v>
      </c>
      <c r="N28" s="39"/>
      <c r="O28" s="39"/>
      <c r="P28" s="40"/>
    </row>
    <row r="29" spans="1:16" s="14" customFormat="1" x14ac:dyDescent="0.25">
      <c r="A29" s="39"/>
      <c r="B29" s="39"/>
      <c r="C29" s="40"/>
      <c r="D29" s="42"/>
      <c r="E29" s="45"/>
      <c r="F29" s="39"/>
      <c r="G29" s="47"/>
      <c r="H29" s="39"/>
      <c r="I29" s="39"/>
      <c r="J29" s="39"/>
      <c r="K29" s="21">
        <v>20</v>
      </c>
      <c r="L29" s="20" t="s">
        <v>42</v>
      </c>
      <c r="M29" s="20" t="s">
        <v>54</v>
      </c>
      <c r="N29" s="39"/>
      <c r="O29" s="39"/>
      <c r="P29" s="40"/>
    </row>
    <row r="30" spans="1:16" s="14" customFormat="1" x14ac:dyDescent="0.25">
      <c r="A30" s="39"/>
      <c r="B30" s="39"/>
      <c r="C30" s="40"/>
      <c r="D30" s="42"/>
      <c r="E30" s="45"/>
      <c r="F30" s="39"/>
      <c r="G30" s="47"/>
      <c r="H30" s="39"/>
      <c r="I30" s="39"/>
      <c r="J30" s="39"/>
      <c r="K30" s="19">
        <v>21</v>
      </c>
      <c r="L30" s="20" t="s">
        <v>42</v>
      </c>
      <c r="M30" s="20" t="s">
        <v>58</v>
      </c>
      <c r="N30" s="39"/>
      <c r="O30" s="39"/>
      <c r="P30" s="40"/>
    </row>
    <row r="31" spans="1:16" s="14" customFormat="1" x14ac:dyDescent="0.25">
      <c r="A31" s="39"/>
      <c r="B31" s="39"/>
      <c r="C31" s="40"/>
      <c r="D31" s="42"/>
      <c r="E31" s="45"/>
      <c r="F31" s="39"/>
      <c r="G31" s="47"/>
      <c r="H31" s="39"/>
      <c r="I31" s="39"/>
      <c r="J31" s="39"/>
      <c r="K31" s="21">
        <v>22</v>
      </c>
      <c r="L31" s="20" t="s">
        <v>44</v>
      </c>
      <c r="M31" s="20" t="s">
        <v>64</v>
      </c>
      <c r="N31" s="39"/>
      <c r="O31" s="39"/>
      <c r="P31" s="40"/>
    </row>
    <row r="32" spans="1:16" s="14" customFormat="1" x14ac:dyDescent="0.25">
      <c r="A32" s="39"/>
      <c r="B32" s="39"/>
      <c r="C32" s="40"/>
      <c r="D32" s="42"/>
      <c r="E32" s="45"/>
      <c r="F32" s="39"/>
      <c r="G32" s="47"/>
      <c r="H32" s="39"/>
      <c r="I32" s="39"/>
      <c r="J32" s="39"/>
      <c r="K32" s="19">
        <v>23</v>
      </c>
      <c r="L32" s="20" t="s">
        <v>46</v>
      </c>
      <c r="M32" s="20" t="s">
        <v>67</v>
      </c>
      <c r="N32" s="39"/>
      <c r="O32" s="39"/>
      <c r="P32" s="40"/>
    </row>
    <row r="33" spans="1:16" s="14" customFormat="1" x14ac:dyDescent="0.25">
      <c r="A33" s="39"/>
      <c r="B33" s="39"/>
      <c r="C33" s="40"/>
      <c r="D33" s="42"/>
      <c r="E33" s="45"/>
      <c r="F33" s="39"/>
      <c r="G33" s="47"/>
      <c r="H33" s="39"/>
      <c r="I33" s="39"/>
      <c r="J33" s="39"/>
      <c r="K33" s="21">
        <v>24</v>
      </c>
      <c r="L33" s="20" t="s">
        <v>47</v>
      </c>
      <c r="M33" s="20" t="s">
        <v>72</v>
      </c>
      <c r="N33" s="39"/>
      <c r="O33" s="39"/>
      <c r="P33" s="40"/>
    </row>
    <row r="34" spans="1:16" s="14" customFormat="1" x14ac:dyDescent="0.25">
      <c r="A34" s="39"/>
      <c r="B34" s="39"/>
      <c r="C34" s="40"/>
      <c r="D34" s="42"/>
      <c r="E34" s="45"/>
      <c r="F34" s="39"/>
      <c r="G34" s="47"/>
      <c r="H34" s="39"/>
      <c r="I34" s="39"/>
      <c r="J34" s="39"/>
      <c r="K34" s="19">
        <v>25</v>
      </c>
      <c r="L34" s="20" t="s">
        <v>48</v>
      </c>
      <c r="M34" s="20" t="s">
        <v>75</v>
      </c>
      <c r="N34" s="39"/>
      <c r="O34" s="39"/>
      <c r="P34" s="40"/>
    </row>
    <row r="35" spans="1:16" s="14" customFormat="1" x14ac:dyDescent="0.25">
      <c r="A35" s="39"/>
      <c r="B35" s="39"/>
      <c r="C35" s="40"/>
      <c r="D35" s="42"/>
      <c r="E35" s="45"/>
      <c r="F35" s="39"/>
      <c r="G35" s="47"/>
      <c r="H35" s="39"/>
      <c r="I35" s="39"/>
      <c r="J35" s="39"/>
      <c r="K35" s="21">
        <v>26</v>
      </c>
      <c r="L35" s="20" t="s">
        <v>48</v>
      </c>
      <c r="M35" s="20" t="s">
        <v>76</v>
      </c>
      <c r="N35" s="39"/>
      <c r="O35" s="39"/>
      <c r="P35" s="40"/>
    </row>
    <row r="36" spans="1:16" s="14" customFormat="1" x14ac:dyDescent="0.25">
      <c r="A36" s="39"/>
      <c r="B36" s="39"/>
      <c r="C36" s="40"/>
      <c r="D36" s="42"/>
      <c r="E36" s="45"/>
      <c r="F36" s="39"/>
      <c r="G36" s="47"/>
      <c r="H36" s="39"/>
      <c r="I36" s="39"/>
      <c r="J36" s="39"/>
      <c r="K36" s="19">
        <v>27</v>
      </c>
      <c r="L36" s="20" t="s">
        <v>49</v>
      </c>
      <c r="M36" s="20" t="s">
        <v>79</v>
      </c>
      <c r="N36" s="39"/>
      <c r="O36" s="39"/>
      <c r="P36" s="40"/>
    </row>
    <row r="37" spans="1:16" s="14" customFormat="1" x14ac:dyDescent="0.25">
      <c r="A37" s="39"/>
      <c r="B37" s="39"/>
      <c r="C37" s="40"/>
      <c r="D37" s="42"/>
      <c r="E37" s="45"/>
      <c r="F37" s="39"/>
      <c r="G37" s="47"/>
      <c r="H37" s="39"/>
      <c r="I37" s="39"/>
      <c r="J37" s="39"/>
      <c r="K37" s="21">
        <v>28</v>
      </c>
      <c r="L37" s="20" t="s">
        <v>50</v>
      </c>
      <c r="M37" s="20" t="s">
        <v>81</v>
      </c>
      <c r="N37" s="39"/>
      <c r="O37" s="39"/>
      <c r="P37" s="40"/>
    </row>
    <row r="38" spans="1:16" s="14" customFormat="1" x14ac:dyDescent="0.25">
      <c r="A38" s="39"/>
      <c r="B38" s="39"/>
      <c r="C38" s="40"/>
      <c r="D38" s="42"/>
      <c r="E38" s="45"/>
      <c r="F38" s="39"/>
      <c r="G38" s="47"/>
      <c r="H38" s="39"/>
      <c r="I38" s="39"/>
      <c r="J38" s="39"/>
      <c r="K38" s="19">
        <v>29</v>
      </c>
      <c r="L38" s="20" t="s">
        <v>51</v>
      </c>
      <c r="M38" s="20" t="s">
        <v>83</v>
      </c>
      <c r="N38" s="39"/>
      <c r="O38" s="39"/>
      <c r="P38" s="40"/>
    </row>
    <row r="39" spans="1:16" s="14" customFormat="1" x14ac:dyDescent="0.25">
      <c r="A39" s="39"/>
      <c r="B39" s="39"/>
      <c r="C39" s="40"/>
      <c r="D39" s="42"/>
      <c r="E39" s="45"/>
      <c r="F39" s="39"/>
      <c r="G39" s="47"/>
      <c r="H39" s="39"/>
      <c r="I39" s="39"/>
      <c r="J39" s="39"/>
      <c r="K39" s="21">
        <v>30</v>
      </c>
      <c r="L39" s="20" t="s">
        <v>53</v>
      </c>
      <c r="M39" s="20" t="s">
        <v>85</v>
      </c>
      <c r="N39" s="39"/>
      <c r="O39" s="39"/>
      <c r="P39" s="40"/>
    </row>
    <row r="40" spans="1:16" s="14" customFormat="1" x14ac:dyDescent="0.25">
      <c r="A40" s="39"/>
      <c r="B40" s="39"/>
      <c r="C40" s="40"/>
      <c r="D40" s="42"/>
      <c r="E40" s="45"/>
      <c r="F40" s="39"/>
      <c r="G40" s="47"/>
      <c r="H40" s="39"/>
      <c r="I40" s="39"/>
      <c r="J40" s="39"/>
      <c r="K40" s="19">
        <v>31</v>
      </c>
      <c r="L40" s="20" t="s">
        <v>55</v>
      </c>
      <c r="M40" s="20" t="s">
        <v>87</v>
      </c>
      <c r="N40" s="39"/>
      <c r="O40" s="39"/>
      <c r="P40" s="40"/>
    </row>
    <row r="41" spans="1:16" s="14" customFormat="1" x14ac:dyDescent="0.25">
      <c r="A41" s="39"/>
      <c r="B41" s="39"/>
      <c r="C41" s="40"/>
      <c r="D41" s="42"/>
      <c r="E41" s="45"/>
      <c r="F41" s="39"/>
      <c r="G41" s="47"/>
      <c r="H41" s="39"/>
      <c r="I41" s="39"/>
      <c r="J41" s="39"/>
      <c r="K41" s="21">
        <v>32</v>
      </c>
      <c r="L41" s="20" t="s">
        <v>62</v>
      </c>
      <c r="M41" s="20" t="s">
        <v>88</v>
      </c>
      <c r="N41" s="39"/>
      <c r="O41" s="39"/>
      <c r="P41" s="40"/>
    </row>
    <row r="42" spans="1:16" s="14" customFormat="1" x14ac:dyDescent="0.25">
      <c r="A42" s="39"/>
      <c r="B42" s="39"/>
      <c r="C42" s="40"/>
      <c r="D42" s="42"/>
      <c r="E42" s="45"/>
      <c r="F42" s="39"/>
      <c r="G42" s="47"/>
      <c r="H42" s="39"/>
      <c r="I42" s="39"/>
      <c r="J42" s="39"/>
      <c r="K42" s="19">
        <v>33</v>
      </c>
      <c r="L42" s="20" t="s">
        <v>61</v>
      </c>
      <c r="M42" s="20" t="s">
        <v>92</v>
      </c>
      <c r="N42" s="39"/>
      <c r="O42" s="39"/>
      <c r="P42" s="40"/>
    </row>
    <row r="43" spans="1:16" s="14" customFormat="1" x14ac:dyDescent="0.25">
      <c r="A43" s="39"/>
      <c r="B43" s="39"/>
      <c r="C43" s="40"/>
      <c r="D43" s="42"/>
      <c r="E43" s="45"/>
      <c r="F43" s="39"/>
      <c r="G43" s="47"/>
      <c r="H43" s="39"/>
      <c r="I43" s="39"/>
      <c r="J43" s="39"/>
      <c r="K43" s="21">
        <v>34</v>
      </c>
      <c r="L43" s="20" t="s">
        <v>63</v>
      </c>
      <c r="M43" s="20" t="s">
        <v>93</v>
      </c>
      <c r="N43" s="39"/>
      <c r="O43" s="39"/>
      <c r="P43" s="40"/>
    </row>
    <row r="44" spans="1:16" s="14" customFormat="1" x14ac:dyDescent="0.25">
      <c r="A44" s="39"/>
      <c r="B44" s="39"/>
      <c r="C44" s="40"/>
      <c r="D44" s="42"/>
      <c r="E44" s="45"/>
      <c r="F44" s="39"/>
      <c r="G44" s="47"/>
      <c r="H44" s="39"/>
      <c r="I44" s="39"/>
      <c r="J44" s="39"/>
      <c r="K44" s="19">
        <v>35</v>
      </c>
      <c r="L44" s="20" t="s">
        <v>65</v>
      </c>
      <c r="M44" s="20" t="s">
        <v>96</v>
      </c>
      <c r="N44" s="39"/>
      <c r="O44" s="39"/>
      <c r="P44" s="40"/>
    </row>
    <row r="45" spans="1:16" s="14" customFormat="1" x14ac:dyDescent="0.25">
      <c r="A45" s="39"/>
      <c r="B45" s="39"/>
      <c r="C45" s="40"/>
      <c r="D45" s="42"/>
      <c r="E45" s="45"/>
      <c r="F45" s="39"/>
      <c r="G45" s="47"/>
      <c r="H45" s="39"/>
      <c r="I45" s="39"/>
      <c r="J45" s="39"/>
      <c r="K45" s="21">
        <v>36</v>
      </c>
      <c r="L45" s="20" t="s">
        <v>66</v>
      </c>
      <c r="M45" s="20" t="s">
        <v>99</v>
      </c>
      <c r="N45" s="39"/>
      <c r="O45" s="39"/>
      <c r="P45" s="40"/>
    </row>
    <row r="46" spans="1:16" x14ac:dyDescent="0.25">
      <c r="A46" s="39"/>
      <c r="B46" s="39"/>
      <c r="C46" s="40"/>
      <c r="D46" s="42"/>
      <c r="E46" s="45"/>
      <c r="F46" s="39"/>
      <c r="G46" s="47"/>
      <c r="H46" s="39"/>
      <c r="I46" s="39"/>
      <c r="J46" s="39"/>
      <c r="K46" s="19">
        <v>37</v>
      </c>
      <c r="L46" s="20" t="s">
        <v>68</v>
      </c>
      <c r="M46" s="20" t="s">
        <v>102</v>
      </c>
      <c r="N46" s="39"/>
      <c r="O46" s="39"/>
      <c r="P46" s="40"/>
    </row>
    <row r="47" spans="1:16" x14ac:dyDescent="0.25">
      <c r="A47" s="39"/>
      <c r="B47" s="39"/>
      <c r="C47" s="40"/>
      <c r="D47" s="42"/>
      <c r="E47" s="45"/>
      <c r="F47" s="39"/>
      <c r="G47" s="47"/>
      <c r="H47" s="39"/>
      <c r="I47" s="39"/>
      <c r="J47" s="39"/>
      <c r="K47" s="21">
        <v>38</v>
      </c>
      <c r="L47" s="20" t="s">
        <v>69</v>
      </c>
      <c r="M47" s="20" t="s">
        <v>104</v>
      </c>
      <c r="N47" s="39"/>
      <c r="O47" s="39"/>
      <c r="P47" s="40"/>
    </row>
    <row r="48" spans="1:16" x14ac:dyDescent="0.25">
      <c r="A48" s="39"/>
      <c r="B48" s="39"/>
      <c r="C48" s="40"/>
      <c r="D48" s="42"/>
      <c r="E48" s="45"/>
      <c r="F48" s="39"/>
      <c r="G48" s="47"/>
      <c r="H48" s="39"/>
      <c r="I48" s="39"/>
      <c r="J48" s="39"/>
      <c r="K48" s="19">
        <v>39</v>
      </c>
      <c r="L48" s="20" t="s">
        <v>70</v>
      </c>
      <c r="M48" s="20" t="s">
        <v>109</v>
      </c>
      <c r="N48" s="39"/>
      <c r="O48" s="39"/>
      <c r="P48" s="40"/>
    </row>
    <row r="49" spans="1:16" x14ac:dyDescent="0.25">
      <c r="A49" s="39"/>
      <c r="B49" s="39"/>
      <c r="C49" s="40"/>
      <c r="D49" s="42"/>
      <c r="E49" s="45"/>
      <c r="F49" s="39"/>
      <c r="G49" s="47"/>
      <c r="H49" s="39"/>
      <c r="I49" s="39"/>
      <c r="J49" s="39"/>
      <c r="K49" s="21">
        <v>40</v>
      </c>
      <c r="L49" s="20" t="s">
        <v>71</v>
      </c>
      <c r="M49" s="20" t="s">
        <v>110</v>
      </c>
      <c r="N49" s="39"/>
      <c r="O49" s="39"/>
      <c r="P49" s="40"/>
    </row>
    <row r="50" spans="1:16" x14ac:dyDescent="0.25">
      <c r="A50" s="39"/>
      <c r="B50" s="39"/>
      <c r="C50" s="40"/>
      <c r="D50" s="42"/>
      <c r="E50" s="45"/>
      <c r="F50" s="39"/>
      <c r="G50" s="47"/>
      <c r="H50" s="39"/>
      <c r="I50" s="39"/>
      <c r="J50" s="39"/>
      <c r="K50" s="19">
        <v>41</v>
      </c>
      <c r="L50" s="20" t="s">
        <v>73</v>
      </c>
      <c r="M50" s="20" t="s">
        <v>111</v>
      </c>
      <c r="N50" s="39"/>
      <c r="O50" s="39"/>
      <c r="P50" s="40"/>
    </row>
    <row r="51" spans="1:16" x14ac:dyDescent="0.25">
      <c r="A51" s="39"/>
      <c r="B51" s="39"/>
      <c r="C51" s="40"/>
      <c r="D51" s="42"/>
      <c r="E51" s="45"/>
      <c r="F51" s="39"/>
      <c r="G51" s="47"/>
      <c r="H51" s="39"/>
      <c r="I51" s="39"/>
      <c r="J51" s="39"/>
      <c r="K51" s="21">
        <v>42</v>
      </c>
      <c r="L51" s="20" t="s">
        <v>74</v>
      </c>
      <c r="M51" s="20" t="s">
        <v>114</v>
      </c>
      <c r="N51" s="39"/>
      <c r="O51" s="39"/>
      <c r="P51" s="40"/>
    </row>
    <row r="52" spans="1:16" x14ac:dyDescent="0.25">
      <c r="A52" s="39"/>
      <c r="B52" s="39"/>
      <c r="C52" s="40"/>
      <c r="D52" s="42"/>
      <c r="E52" s="45"/>
      <c r="F52" s="39"/>
      <c r="G52" s="47"/>
      <c r="H52" s="39"/>
      <c r="I52" s="39"/>
      <c r="J52" s="39"/>
      <c r="K52" s="19">
        <v>43</v>
      </c>
      <c r="L52" s="20" t="s">
        <v>77</v>
      </c>
      <c r="M52" s="20" t="s">
        <v>116</v>
      </c>
      <c r="N52" s="39"/>
      <c r="O52" s="39"/>
      <c r="P52" s="40"/>
    </row>
    <row r="53" spans="1:16" x14ac:dyDescent="0.25">
      <c r="A53" s="39"/>
      <c r="B53" s="39"/>
      <c r="C53" s="40"/>
      <c r="D53" s="42"/>
      <c r="E53" s="45"/>
      <c r="F53" s="39"/>
      <c r="G53" s="47"/>
      <c r="H53" s="39"/>
      <c r="I53" s="39"/>
      <c r="J53" s="39"/>
      <c r="K53" s="21">
        <v>44</v>
      </c>
      <c r="L53" s="20" t="s">
        <v>78</v>
      </c>
      <c r="M53" s="20" t="s">
        <v>119</v>
      </c>
      <c r="N53" s="39"/>
      <c r="O53" s="39"/>
      <c r="P53" s="40"/>
    </row>
    <row r="54" spans="1:16" x14ac:dyDescent="0.25">
      <c r="A54" s="39"/>
      <c r="B54" s="39"/>
      <c r="C54" s="40"/>
      <c r="D54" s="42"/>
      <c r="E54" s="45"/>
      <c r="F54" s="39"/>
      <c r="G54" s="47"/>
      <c r="H54" s="39"/>
      <c r="I54" s="39"/>
      <c r="J54" s="39"/>
      <c r="K54" s="19">
        <v>45</v>
      </c>
      <c r="L54" s="20" t="s">
        <v>80</v>
      </c>
      <c r="M54" s="20" t="s">
        <v>119</v>
      </c>
      <c r="N54" s="39"/>
      <c r="O54" s="39"/>
      <c r="P54" s="40"/>
    </row>
    <row r="55" spans="1:16" x14ac:dyDescent="0.25">
      <c r="A55" s="39"/>
      <c r="B55" s="39"/>
      <c r="C55" s="40"/>
      <c r="D55" s="42"/>
      <c r="E55" s="45"/>
      <c r="F55" s="39"/>
      <c r="G55" s="47"/>
      <c r="H55" s="39"/>
      <c r="I55" s="39"/>
      <c r="J55" s="39"/>
      <c r="K55" s="21">
        <v>46</v>
      </c>
      <c r="L55" s="20" t="s">
        <v>82</v>
      </c>
      <c r="M55" s="22"/>
      <c r="N55" s="39"/>
      <c r="O55" s="39"/>
      <c r="P55" s="40"/>
    </row>
    <row r="56" spans="1:16" x14ac:dyDescent="0.25">
      <c r="A56" s="39"/>
      <c r="B56" s="39"/>
      <c r="C56" s="40"/>
      <c r="D56" s="42"/>
      <c r="E56" s="45"/>
      <c r="F56" s="39"/>
      <c r="G56" s="47"/>
      <c r="H56" s="39"/>
      <c r="I56" s="39"/>
      <c r="J56" s="39"/>
      <c r="K56" s="19">
        <v>47</v>
      </c>
      <c r="L56" s="20" t="s">
        <v>84</v>
      </c>
      <c r="M56" s="22"/>
      <c r="N56" s="39"/>
      <c r="O56" s="39"/>
      <c r="P56" s="40"/>
    </row>
    <row r="57" spans="1:16" x14ac:dyDescent="0.25">
      <c r="A57" s="39"/>
      <c r="B57" s="39"/>
      <c r="C57" s="40"/>
      <c r="D57" s="42"/>
      <c r="E57" s="45"/>
      <c r="F57" s="39"/>
      <c r="G57" s="47"/>
      <c r="H57" s="39"/>
      <c r="I57" s="39"/>
      <c r="J57" s="39"/>
      <c r="K57" s="21">
        <v>48</v>
      </c>
      <c r="L57" s="20" t="s">
        <v>86</v>
      </c>
      <c r="M57" s="22"/>
      <c r="N57" s="39"/>
      <c r="O57" s="39"/>
      <c r="P57" s="40"/>
    </row>
    <row r="58" spans="1:16" x14ac:dyDescent="0.25">
      <c r="A58" s="39"/>
      <c r="B58" s="39"/>
      <c r="C58" s="40"/>
      <c r="D58" s="42"/>
      <c r="E58" s="45"/>
      <c r="F58" s="39"/>
      <c r="G58" s="47"/>
      <c r="H58" s="39"/>
      <c r="I58" s="39"/>
      <c r="J58" s="39"/>
      <c r="K58" s="19">
        <v>49</v>
      </c>
      <c r="L58" s="20" t="s">
        <v>90</v>
      </c>
      <c r="M58" s="22"/>
      <c r="N58" s="39"/>
      <c r="O58" s="39"/>
      <c r="P58" s="40"/>
    </row>
    <row r="59" spans="1:16" x14ac:dyDescent="0.25">
      <c r="A59" s="39"/>
      <c r="B59" s="39"/>
      <c r="C59" s="40"/>
      <c r="D59" s="42"/>
      <c r="E59" s="45"/>
      <c r="F59" s="39"/>
      <c r="G59" s="47"/>
      <c r="H59" s="39"/>
      <c r="I59" s="39"/>
      <c r="J59" s="39"/>
      <c r="K59" s="21">
        <v>50</v>
      </c>
      <c r="L59" s="20" t="s">
        <v>90</v>
      </c>
      <c r="M59" s="22"/>
      <c r="N59" s="39"/>
      <c r="O59" s="39"/>
      <c r="P59" s="40"/>
    </row>
    <row r="60" spans="1:16" x14ac:dyDescent="0.25">
      <c r="A60" s="39"/>
      <c r="B60" s="39"/>
      <c r="C60" s="40"/>
      <c r="D60" s="42"/>
      <c r="E60" s="45"/>
      <c r="F60" s="39"/>
      <c r="G60" s="47"/>
      <c r="H60" s="39"/>
      <c r="I60" s="39"/>
      <c r="J60" s="39"/>
      <c r="K60" s="19">
        <v>51</v>
      </c>
      <c r="L60" s="20" t="s">
        <v>90</v>
      </c>
      <c r="M60" s="22"/>
      <c r="N60" s="39"/>
      <c r="O60" s="39"/>
      <c r="P60" s="40"/>
    </row>
    <row r="61" spans="1:16" x14ac:dyDescent="0.25">
      <c r="A61" s="39"/>
      <c r="B61" s="39"/>
      <c r="C61" s="40"/>
      <c r="D61" s="42"/>
      <c r="E61" s="45"/>
      <c r="F61" s="39"/>
      <c r="G61" s="47"/>
      <c r="H61" s="39"/>
      <c r="I61" s="39"/>
      <c r="J61" s="39"/>
      <c r="K61" s="21">
        <v>52</v>
      </c>
      <c r="L61" s="20" t="s">
        <v>89</v>
      </c>
      <c r="M61" s="22"/>
      <c r="N61" s="39"/>
      <c r="O61" s="39"/>
      <c r="P61" s="40"/>
    </row>
    <row r="62" spans="1:16" x14ac:dyDescent="0.25">
      <c r="A62" s="39"/>
      <c r="B62" s="39"/>
      <c r="C62" s="40"/>
      <c r="D62" s="42"/>
      <c r="E62" s="45"/>
      <c r="F62" s="39"/>
      <c r="G62" s="47"/>
      <c r="H62" s="39"/>
      <c r="I62" s="39"/>
      <c r="J62" s="39"/>
      <c r="K62" s="19">
        <v>53</v>
      </c>
      <c r="L62" s="20" t="s">
        <v>91</v>
      </c>
      <c r="M62" s="22"/>
      <c r="N62" s="39"/>
      <c r="O62" s="39"/>
      <c r="P62" s="40"/>
    </row>
    <row r="63" spans="1:16" x14ac:dyDescent="0.25">
      <c r="A63" s="39"/>
      <c r="B63" s="39"/>
      <c r="C63" s="40"/>
      <c r="D63" s="42"/>
      <c r="E63" s="45"/>
      <c r="F63" s="39"/>
      <c r="G63" s="47"/>
      <c r="H63" s="39"/>
      <c r="I63" s="39"/>
      <c r="J63" s="39"/>
      <c r="K63" s="21">
        <v>54</v>
      </c>
      <c r="L63" s="20" t="s">
        <v>95</v>
      </c>
      <c r="M63" s="22"/>
      <c r="N63" s="39"/>
      <c r="O63" s="39"/>
      <c r="P63" s="40"/>
    </row>
    <row r="64" spans="1:16" x14ac:dyDescent="0.25">
      <c r="A64" s="39"/>
      <c r="B64" s="39"/>
      <c r="C64" s="40"/>
      <c r="D64" s="42"/>
      <c r="E64" s="45"/>
      <c r="F64" s="39"/>
      <c r="G64" s="47"/>
      <c r="H64" s="39"/>
      <c r="I64" s="39"/>
      <c r="J64" s="39"/>
      <c r="K64" s="19">
        <v>55</v>
      </c>
      <c r="L64" s="20" t="s">
        <v>94</v>
      </c>
      <c r="M64" s="22"/>
      <c r="N64" s="39"/>
      <c r="O64" s="39"/>
      <c r="P64" s="40"/>
    </row>
    <row r="65" spans="1:16" x14ac:dyDescent="0.25">
      <c r="A65" s="39"/>
      <c r="B65" s="39"/>
      <c r="C65" s="40"/>
      <c r="D65" s="42"/>
      <c r="E65" s="45"/>
      <c r="F65" s="39"/>
      <c r="G65" s="47"/>
      <c r="H65" s="39"/>
      <c r="I65" s="39"/>
      <c r="J65" s="39"/>
      <c r="K65" s="21">
        <v>56</v>
      </c>
      <c r="L65" s="20" t="s">
        <v>98</v>
      </c>
      <c r="M65" s="22"/>
      <c r="N65" s="39"/>
      <c r="O65" s="39"/>
      <c r="P65" s="40"/>
    </row>
    <row r="66" spans="1:16" x14ac:dyDescent="0.25">
      <c r="A66" s="39"/>
      <c r="B66" s="39"/>
      <c r="C66" s="40"/>
      <c r="D66" s="42"/>
      <c r="E66" s="45"/>
      <c r="F66" s="39"/>
      <c r="G66" s="47"/>
      <c r="H66" s="39"/>
      <c r="I66" s="39"/>
      <c r="J66" s="39"/>
      <c r="K66" s="19">
        <v>57</v>
      </c>
      <c r="L66" s="20" t="s">
        <v>97</v>
      </c>
      <c r="M66" s="22"/>
      <c r="N66" s="39"/>
      <c r="O66" s="39"/>
      <c r="P66" s="40"/>
    </row>
    <row r="67" spans="1:16" x14ac:dyDescent="0.25">
      <c r="A67" s="39"/>
      <c r="B67" s="39"/>
      <c r="C67" s="40"/>
      <c r="D67" s="42"/>
      <c r="E67" s="45"/>
      <c r="F67" s="39"/>
      <c r="G67" s="47"/>
      <c r="H67" s="39"/>
      <c r="I67" s="39"/>
      <c r="J67" s="39"/>
      <c r="K67" s="21">
        <v>58</v>
      </c>
      <c r="L67" s="20" t="s">
        <v>100</v>
      </c>
      <c r="M67" s="22"/>
      <c r="N67" s="39"/>
      <c r="O67" s="39"/>
      <c r="P67" s="40"/>
    </row>
    <row r="68" spans="1:16" x14ac:dyDescent="0.25">
      <c r="A68" s="39"/>
      <c r="B68" s="39"/>
      <c r="C68" s="40"/>
      <c r="D68" s="42"/>
      <c r="E68" s="45"/>
      <c r="F68" s="39"/>
      <c r="G68" s="47"/>
      <c r="H68" s="39"/>
      <c r="I68" s="39"/>
      <c r="J68" s="39"/>
      <c r="K68" s="19">
        <v>59</v>
      </c>
      <c r="L68" s="20" t="s">
        <v>101</v>
      </c>
      <c r="M68" s="22"/>
      <c r="N68" s="39"/>
      <c r="O68" s="39"/>
      <c r="P68" s="40"/>
    </row>
    <row r="69" spans="1:16" x14ac:dyDescent="0.25">
      <c r="A69" s="39"/>
      <c r="B69" s="39"/>
      <c r="C69" s="40"/>
      <c r="D69" s="42"/>
      <c r="E69" s="45"/>
      <c r="F69" s="39"/>
      <c r="G69" s="47"/>
      <c r="H69" s="39"/>
      <c r="I69" s="39"/>
      <c r="J69" s="39"/>
      <c r="K69" s="21">
        <v>60</v>
      </c>
      <c r="L69" s="20" t="s">
        <v>103</v>
      </c>
      <c r="M69" s="22"/>
      <c r="N69" s="39"/>
      <c r="O69" s="39"/>
      <c r="P69" s="40"/>
    </row>
    <row r="70" spans="1:16" x14ac:dyDescent="0.25">
      <c r="A70" s="39"/>
      <c r="B70" s="39"/>
      <c r="C70" s="40"/>
      <c r="D70" s="42"/>
      <c r="E70" s="45"/>
      <c r="F70" s="39"/>
      <c r="G70" s="47"/>
      <c r="H70" s="39"/>
      <c r="I70" s="39"/>
      <c r="J70" s="39"/>
      <c r="K70" s="19">
        <v>61</v>
      </c>
      <c r="L70" s="20" t="s">
        <v>105</v>
      </c>
      <c r="M70" s="22"/>
      <c r="N70" s="39"/>
      <c r="O70" s="39"/>
      <c r="P70" s="40"/>
    </row>
    <row r="71" spans="1:16" x14ac:dyDescent="0.25">
      <c r="A71" s="39"/>
      <c r="B71" s="39"/>
      <c r="C71" s="40"/>
      <c r="D71" s="42"/>
      <c r="E71" s="45"/>
      <c r="F71" s="39"/>
      <c r="G71" s="47"/>
      <c r="H71" s="39"/>
      <c r="I71" s="39"/>
      <c r="J71" s="39"/>
      <c r="K71" s="21">
        <v>62</v>
      </c>
      <c r="L71" s="20" t="s">
        <v>107</v>
      </c>
      <c r="M71" s="22"/>
      <c r="N71" s="39"/>
      <c r="O71" s="39"/>
      <c r="P71" s="40"/>
    </row>
    <row r="72" spans="1:16" x14ac:dyDescent="0.25">
      <c r="A72" s="39"/>
      <c r="B72" s="39"/>
      <c r="C72" s="40"/>
      <c r="D72" s="42"/>
      <c r="E72" s="45"/>
      <c r="F72" s="39"/>
      <c r="G72" s="47"/>
      <c r="H72" s="39"/>
      <c r="I72" s="39"/>
      <c r="J72" s="39"/>
      <c r="K72" s="19">
        <v>63</v>
      </c>
      <c r="L72" s="20" t="s">
        <v>106</v>
      </c>
      <c r="M72" s="22"/>
      <c r="N72" s="39"/>
      <c r="O72" s="39"/>
      <c r="P72" s="40"/>
    </row>
    <row r="73" spans="1:16" x14ac:dyDescent="0.25">
      <c r="A73" s="39"/>
      <c r="B73" s="39"/>
      <c r="C73" s="40"/>
      <c r="D73" s="42"/>
      <c r="E73" s="45"/>
      <c r="F73" s="39"/>
      <c r="G73" s="47"/>
      <c r="H73" s="39"/>
      <c r="I73" s="39"/>
      <c r="J73" s="39"/>
      <c r="K73" s="21">
        <v>64</v>
      </c>
      <c r="L73" s="20" t="s">
        <v>108</v>
      </c>
      <c r="M73" s="22"/>
      <c r="N73" s="39"/>
      <c r="O73" s="39"/>
      <c r="P73" s="40"/>
    </row>
    <row r="74" spans="1:16" x14ac:dyDescent="0.25">
      <c r="A74" s="39"/>
      <c r="B74" s="39"/>
      <c r="C74" s="40"/>
      <c r="D74" s="42"/>
      <c r="E74" s="45"/>
      <c r="F74" s="39"/>
      <c r="G74" s="47"/>
      <c r="H74" s="39"/>
      <c r="I74" s="39"/>
      <c r="J74" s="39"/>
      <c r="K74" s="19">
        <v>65</v>
      </c>
      <c r="L74" s="20" t="s">
        <v>112</v>
      </c>
      <c r="M74" s="22"/>
      <c r="N74" s="39"/>
      <c r="O74" s="39"/>
      <c r="P74" s="40"/>
    </row>
    <row r="75" spans="1:16" x14ac:dyDescent="0.25">
      <c r="A75" s="39"/>
      <c r="B75" s="39"/>
      <c r="C75" s="40"/>
      <c r="D75" s="42"/>
      <c r="E75" s="45"/>
      <c r="F75" s="39"/>
      <c r="G75" s="47"/>
      <c r="H75" s="39"/>
      <c r="I75" s="39"/>
      <c r="J75" s="39"/>
      <c r="K75" s="21">
        <v>66</v>
      </c>
      <c r="L75" s="20" t="s">
        <v>113</v>
      </c>
      <c r="M75" s="22"/>
      <c r="N75" s="39"/>
      <c r="O75" s="39"/>
      <c r="P75" s="40"/>
    </row>
    <row r="76" spans="1:16" x14ac:dyDescent="0.25">
      <c r="A76" s="39"/>
      <c r="B76" s="39"/>
      <c r="C76" s="40"/>
      <c r="D76" s="42"/>
      <c r="E76" s="45"/>
      <c r="F76" s="39"/>
      <c r="G76" s="47"/>
      <c r="H76" s="39"/>
      <c r="I76" s="39"/>
      <c r="J76" s="39"/>
      <c r="K76" s="19">
        <v>67</v>
      </c>
      <c r="L76" s="20" t="s">
        <v>113</v>
      </c>
      <c r="M76" s="22"/>
      <c r="N76" s="39"/>
      <c r="O76" s="39"/>
      <c r="P76" s="40"/>
    </row>
    <row r="77" spans="1:16" x14ac:dyDescent="0.25">
      <c r="A77" s="39"/>
      <c r="B77" s="39"/>
      <c r="C77" s="40"/>
      <c r="D77" s="42"/>
      <c r="E77" s="45"/>
      <c r="F77" s="39"/>
      <c r="G77" s="47"/>
      <c r="H77" s="39"/>
      <c r="I77" s="39"/>
      <c r="J77" s="39"/>
      <c r="K77" s="21">
        <v>68</v>
      </c>
      <c r="L77" s="20" t="s">
        <v>115</v>
      </c>
      <c r="M77" s="22"/>
      <c r="N77" s="39"/>
      <c r="O77" s="39"/>
      <c r="P77" s="40"/>
    </row>
    <row r="78" spans="1:16" x14ac:dyDescent="0.25">
      <c r="A78" s="39"/>
      <c r="B78" s="39"/>
      <c r="C78" s="40"/>
      <c r="D78" s="42"/>
      <c r="E78" s="45"/>
      <c r="F78" s="39"/>
      <c r="G78" s="47"/>
      <c r="H78" s="39"/>
      <c r="I78" s="39"/>
      <c r="J78" s="39"/>
      <c r="K78" s="19">
        <v>69</v>
      </c>
      <c r="L78" s="20" t="s">
        <v>117</v>
      </c>
      <c r="M78" s="22"/>
      <c r="N78" s="39"/>
      <c r="O78" s="39"/>
      <c r="P78" s="40"/>
    </row>
    <row r="79" spans="1:16" x14ac:dyDescent="0.25">
      <c r="A79" s="39"/>
      <c r="B79" s="39"/>
      <c r="C79" s="40"/>
      <c r="D79" s="42"/>
      <c r="E79" s="45"/>
      <c r="F79" s="39"/>
      <c r="G79" s="47"/>
      <c r="H79" s="39"/>
      <c r="I79" s="39"/>
      <c r="J79" s="39"/>
      <c r="K79" s="21">
        <v>70</v>
      </c>
      <c r="L79" s="23" t="s">
        <v>120</v>
      </c>
      <c r="M79" s="22"/>
      <c r="N79" s="39"/>
      <c r="O79" s="39"/>
      <c r="P79" s="40"/>
    </row>
    <row r="80" spans="1:16" x14ac:dyDescent="0.25">
      <c r="A80" s="39"/>
      <c r="B80" s="39"/>
      <c r="C80" s="40"/>
      <c r="D80" s="42"/>
      <c r="E80" s="46"/>
      <c r="F80" s="39"/>
      <c r="G80" s="47"/>
      <c r="H80" s="39"/>
      <c r="I80" s="39"/>
      <c r="J80" s="39"/>
      <c r="K80" s="19">
        <v>71</v>
      </c>
      <c r="L80" s="20" t="s">
        <v>121</v>
      </c>
      <c r="M80" s="22"/>
      <c r="N80" s="39"/>
      <c r="O80" s="39"/>
      <c r="P80" s="40"/>
    </row>
    <row r="81" spans="1:11" x14ac:dyDescent="0.25">
      <c r="K81" s="16"/>
    </row>
    <row r="82" spans="1:11" x14ac:dyDescent="0.25">
      <c r="A82" s="30" t="s">
        <v>147</v>
      </c>
      <c r="K82" s="17"/>
    </row>
    <row r="83" spans="1:11" x14ac:dyDescent="0.25">
      <c r="K83" s="16"/>
    </row>
    <row r="84" spans="1:11" x14ac:dyDescent="0.25">
      <c r="K84" s="17"/>
    </row>
    <row r="85" spans="1:11" x14ac:dyDescent="0.25">
      <c r="K85" s="16"/>
    </row>
    <row r="88" spans="1:11" x14ac:dyDescent="0.25">
      <c r="D88" s="29"/>
      <c r="E88" s="27"/>
      <c r="I88" s="27"/>
    </row>
    <row r="89" spans="1:11" x14ac:dyDescent="0.25">
      <c r="D89" s="29"/>
    </row>
  </sheetData>
  <mergeCells count="32">
    <mergeCell ref="G10:G80"/>
    <mergeCell ref="H10:H80"/>
    <mergeCell ref="I10:I80"/>
    <mergeCell ref="H7:H8"/>
    <mergeCell ref="I7:I8"/>
    <mergeCell ref="G7:G8"/>
    <mergeCell ref="A10:A80"/>
    <mergeCell ref="B10:B80"/>
    <mergeCell ref="C10:C80"/>
    <mergeCell ref="D10:D80"/>
    <mergeCell ref="F10:F80"/>
    <mergeCell ref="E10:E80"/>
    <mergeCell ref="J10:J80"/>
    <mergeCell ref="N10:N80"/>
    <mergeCell ref="O10:O80"/>
    <mergeCell ref="P10:P80"/>
    <mergeCell ref="P7:P8"/>
    <mergeCell ref="K7:M7"/>
    <mergeCell ref="J7:J8"/>
    <mergeCell ref="N7:N8"/>
    <mergeCell ref="O7:O8"/>
    <mergeCell ref="A5:P6"/>
    <mergeCell ref="A1:P1"/>
    <mergeCell ref="A2:P2"/>
    <mergeCell ref="A3:P3"/>
    <mergeCell ref="A9:P9"/>
    <mergeCell ref="A7:A8"/>
    <mergeCell ref="B7:B8"/>
    <mergeCell ref="C7:C8"/>
    <mergeCell ref="D7:D8"/>
    <mergeCell ref="F7:F8"/>
    <mergeCell ref="E7:E8"/>
  </mergeCells>
  <hyperlinks>
    <hyperlink ref="J10" r:id="rId1" xr:uid="{77F656A4-B2F7-4A32-99F5-A1838BE1F629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A2A20-E753-4E21-9121-2297F71CAA32}">
  <dimension ref="A1:P83"/>
  <sheetViews>
    <sheetView topLeftCell="A36" workbookViewId="0">
      <selection activeCell="D73" sqref="D73"/>
    </sheetView>
  </sheetViews>
  <sheetFormatPr defaultRowHeight="15" x14ac:dyDescent="0.25"/>
  <cols>
    <col min="1" max="1" width="11.85546875" style="2" customWidth="1"/>
    <col min="2" max="2" width="11.42578125" style="2" customWidth="1"/>
    <col min="3" max="3" width="11.42578125" style="8" customWidth="1"/>
    <col min="4" max="4" width="16.28515625" style="4" bestFit="1" customWidth="1"/>
    <col min="5" max="5" width="14.7109375" style="2" customWidth="1"/>
    <col min="6" max="6" width="11.85546875" style="2" customWidth="1"/>
    <col min="7" max="7" width="11.85546875" style="8" customWidth="1"/>
    <col min="8" max="8" width="18" style="4" customWidth="1"/>
    <col min="9" max="9" width="15" style="2" customWidth="1"/>
    <col min="11" max="11" width="16.85546875" bestFit="1" customWidth="1"/>
    <col min="13" max="13" width="20.42578125" bestFit="1" customWidth="1"/>
    <col min="14" max="14" width="10.5703125" style="6" bestFit="1" customWidth="1"/>
    <col min="16" max="16" width="16.85546875" style="2" bestFit="1" customWidth="1"/>
  </cols>
  <sheetData>
    <row r="1" spans="1:16" x14ac:dyDescent="0.25">
      <c r="B1" s="50" t="s">
        <v>5</v>
      </c>
      <c r="C1" s="50"/>
      <c r="D1" s="50"/>
      <c r="E1" s="50"/>
      <c r="F1" s="50" t="s">
        <v>4</v>
      </c>
      <c r="G1" s="50"/>
      <c r="H1" s="50"/>
      <c r="I1" s="50"/>
      <c r="N1" s="6" t="s">
        <v>6</v>
      </c>
      <c r="P1" s="2" t="s">
        <v>19</v>
      </c>
    </row>
    <row r="2" spans="1:16" s="1" customFormat="1" x14ac:dyDescent="0.25">
      <c r="A2" s="1" t="s">
        <v>0</v>
      </c>
      <c r="B2" s="1" t="s">
        <v>3</v>
      </c>
      <c r="C2" s="7" t="s">
        <v>6</v>
      </c>
      <c r="D2" s="3" t="s">
        <v>1</v>
      </c>
      <c r="E2" s="1" t="s">
        <v>2</v>
      </c>
      <c r="F2" s="1" t="s">
        <v>3</v>
      </c>
      <c r="G2" s="7" t="s">
        <v>6</v>
      </c>
      <c r="H2" s="3" t="s">
        <v>1</v>
      </c>
      <c r="I2" s="1" t="s">
        <v>2</v>
      </c>
      <c r="K2" s="1" t="s">
        <v>143</v>
      </c>
      <c r="N2" s="6">
        <v>0.86009999999999998</v>
      </c>
      <c r="P2" s="9">
        <v>56439353</v>
      </c>
    </row>
    <row r="3" spans="1:16" x14ac:dyDescent="0.25">
      <c r="A3" s="2">
        <v>1</v>
      </c>
      <c r="B3" s="5">
        <v>44698</v>
      </c>
      <c r="C3" s="8">
        <f>252138+158564</f>
        <v>410702</v>
      </c>
      <c r="D3" s="4">
        <f>216863.89+136380.9</f>
        <v>353244.79000000004</v>
      </c>
      <c r="E3" s="2" t="s">
        <v>8</v>
      </c>
      <c r="F3" s="5">
        <v>44697</v>
      </c>
      <c r="G3" s="8">
        <v>10256.727999999999</v>
      </c>
      <c r="H3" s="4">
        <f>G3*$N$2</f>
        <v>8821.8117527999984</v>
      </c>
      <c r="I3" s="2" t="s">
        <v>7</v>
      </c>
      <c r="K3" s="24">
        <f>SUM(D3:D83,H3:H83)</f>
        <v>49231226.401791625</v>
      </c>
      <c r="M3" t="s">
        <v>56</v>
      </c>
      <c r="N3" s="6">
        <v>0.93600000000000005</v>
      </c>
    </row>
    <row r="4" spans="1:16" x14ac:dyDescent="0.25">
      <c r="A4" s="2">
        <v>2</v>
      </c>
      <c r="B4" s="5">
        <v>44718</v>
      </c>
      <c r="C4" s="8">
        <f>56665+212472</f>
        <v>269137</v>
      </c>
      <c r="D4" s="4">
        <f>48737.57+182747.17</f>
        <v>231484.74000000002</v>
      </c>
      <c r="E4" s="2" t="s">
        <v>9</v>
      </c>
      <c r="F4" s="5">
        <v>44749</v>
      </c>
      <c r="G4" s="8">
        <v>190257.788</v>
      </c>
      <c r="H4" s="4">
        <f t="shared" ref="H4:H7" si="0">G4*$N$2</f>
        <v>163640.7234588</v>
      </c>
      <c r="I4" s="2" t="s">
        <v>11</v>
      </c>
      <c r="M4" t="s">
        <v>57</v>
      </c>
      <c r="N4" s="6">
        <v>0.97399999999999998</v>
      </c>
    </row>
    <row r="5" spans="1:16" x14ac:dyDescent="0.25">
      <c r="A5" s="2">
        <v>3</v>
      </c>
      <c r="B5" s="5">
        <v>44718</v>
      </c>
      <c r="C5" s="8">
        <f>106796+50666</f>
        <v>157462</v>
      </c>
      <c r="D5" s="13">
        <f>91855.24+43577.83</f>
        <v>135433.07</v>
      </c>
      <c r="E5" s="2" t="s">
        <v>9</v>
      </c>
      <c r="F5" s="5">
        <v>44778</v>
      </c>
      <c r="G5" s="8">
        <f>173208+148968</f>
        <v>322176</v>
      </c>
      <c r="H5" s="4">
        <f t="shared" si="0"/>
        <v>277103.57760000002</v>
      </c>
      <c r="I5" s="2" t="s">
        <v>12</v>
      </c>
      <c r="K5" s="1" t="s">
        <v>145</v>
      </c>
      <c r="M5" t="s">
        <v>60</v>
      </c>
      <c r="N5" s="6">
        <v>3.7999999999999999E-2</v>
      </c>
    </row>
    <row r="6" spans="1:16" x14ac:dyDescent="0.25">
      <c r="A6" s="2">
        <v>4</v>
      </c>
      <c r="B6" s="5">
        <v>44736</v>
      </c>
      <c r="C6" s="8">
        <f>11020+150377+398548+298654</f>
        <v>858599</v>
      </c>
      <c r="D6" s="4">
        <f>9478.3+129339.26+342791.13+256872.31</f>
        <v>738481</v>
      </c>
      <c r="E6" s="2" t="s">
        <v>10</v>
      </c>
      <c r="F6" s="5">
        <v>44816</v>
      </c>
      <c r="G6" s="8">
        <f>6444+25650</f>
        <v>32094</v>
      </c>
      <c r="H6" s="4">
        <f t="shared" si="0"/>
        <v>27604.0494</v>
      </c>
      <c r="I6" s="2" t="s">
        <v>14</v>
      </c>
      <c r="K6" s="24">
        <v>49231226.229999997</v>
      </c>
      <c r="M6" t="s">
        <v>118</v>
      </c>
      <c r="N6" s="6">
        <v>1.0101</v>
      </c>
    </row>
    <row r="7" spans="1:16" x14ac:dyDescent="0.25">
      <c r="A7" s="2">
        <v>5</v>
      </c>
      <c r="B7" s="5">
        <v>44797</v>
      </c>
      <c r="C7" s="8">
        <f>71699+178095+331615+63976+81751</f>
        <v>727136</v>
      </c>
      <c r="D7" s="4">
        <f>C7*$N$2</f>
        <v>625409.67359999998</v>
      </c>
      <c r="E7" s="2" t="s">
        <v>13</v>
      </c>
      <c r="F7" s="5">
        <v>44810</v>
      </c>
      <c r="G7" s="8">
        <f>3438+159622+31357</f>
        <v>194417</v>
      </c>
      <c r="H7" s="4">
        <f t="shared" si="0"/>
        <v>167218.06169999999</v>
      </c>
      <c r="I7" s="2" t="s">
        <v>15</v>
      </c>
    </row>
    <row r="8" spans="1:16" x14ac:dyDescent="0.25">
      <c r="A8" s="2">
        <v>6</v>
      </c>
      <c r="B8" s="5">
        <v>44840</v>
      </c>
      <c r="C8" s="8">
        <f>120080+559100+443100+268944</f>
        <v>1391224</v>
      </c>
      <c r="D8" s="13">
        <f>C8*$N$3</f>
        <v>1302185.6640000001</v>
      </c>
      <c r="E8" s="2" t="s">
        <v>16</v>
      </c>
      <c r="F8" s="5">
        <v>44876</v>
      </c>
      <c r="G8" s="8">
        <v>453328.2</v>
      </c>
      <c r="H8" s="4">
        <f t="shared" ref="H8:H18" si="1">G8*$N$3</f>
        <v>424315.19520000002</v>
      </c>
      <c r="I8" s="2" t="s">
        <v>18</v>
      </c>
      <c r="K8" s="1" t="s">
        <v>144</v>
      </c>
    </row>
    <row r="9" spans="1:16" x14ac:dyDescent="0.25">
      <c r="A9" s="2">
        <v>7</v>
      </c>
      <c r="B9" s="5">
        <v>44872</v>
      </c>
      <c r="C9" s="8">
        <f>252344+416777</f>
        <v>669121</v>
      </c>
      <c r="D9" s="4">
        <f t="shared" ref="D9:D21" si="2">C9*$N$3</f>
        <v>626297.25600000005</v>
      </c>
      <c r="E9" s="2" t="s">
        <v>17</v>
      </c>
      <c r="F9" s="5">
        <v>45001</v>
      </c>
      <c r="G9" s="8">
        <f>4613+7130+10452+392379+313138</f>
        <v>727712</v>
      </c>
      <c r="H9" s="4">
        <f t="shared" si="1"/>
        <v>681138.43200000003</v>
      </c>
      <c r="I9" s="2" t="s">
        <v>24</v>
      </c>
      <c r="K9" s="25">
        <f>K6-K3</f>
        <v>-0.17179162800312042</v>
      </c>
    </row>
    <row r="10" spans="1:16" x14ac:dyDescent="0.25">
      <c r="A10" s="2">
        <v>8</v>
      </c>
      <c r="B10" s="5">
        <v>44915</v>
      </c>
      <c r="C10" s="8">
        <f>351838+307812</f>
        <v>659650</v>
      </c>
      <c r="D10" s="4">
        <f t="shared" si="2"/>
        <v>617432.4</v>
      </c>
      <c r="E10" s="2" t="s">
        <v>20</v>
      </c>
      <c r="F10" s="5">
        <v>45019</v>
      </c>
      <c r="G10" s="8">
        <f>4742+8601+15280+30932</f>
        <v>59555</v>
      </c>
      <c r="H10" s="4">
        <f t="shared" si="1"/>
        <v>55743.48</v>
      </c>
      <c r="I10" s="2" t="s">
        <v>26</v>
      </c>
    </row>
    <row r="11" spans="1:16" x14ac:dyDescent="0.25">
      <c r="A11" s="2">
        <v>9</v>
      </c>
      <c r="B11" s="5">
        <v>44921</v>
      </c>
      <c r="C11" s="8">
        <f>203195+143295+8820+772687</f>
        <v>1127997</v>
      </c>
      <c r="D11" s="4">
        <f t="shared" si="2"/>
        <v>1055805.192</v>
      </c>
      <c r="E11" s="2" t="s">
        <v>21</v>
      </c>
      <c r="F11" s="5">
        <v>45068</v>
      </c>
      <c r="G11" s="8">
        <f>203674+344184+152867</f>
        <v>700725</v>
      </c>
      <c r="H11" s="4">
        <f t="shared" si="1"/>
        <v>655878.60000000009</v>
      </c>
      <c r="I11" s="2" t="s">
        <v>29</v>
      </c>
    </row>
    <row r="12" spans="1:16" x14ac:dyDescent="0.25">
      <c r="A12" s="2">
        <v>10</v>
      </c>
      <c r="B12" s="5">
        <v>44965</v>
      </c>
      <c r="C12" s="8">
        <f>85224+131320+206570</f>
        <v>423114</v>
      </c>
      <c r="D12" s="4">
        <f t="shared" si="2"/>
        <v>396034.70400000003</v>
      </c>
      <c r="E12" s="2" t="s">
        <v>22</v>
      </c>
      <c r="F12" s="5">
        <v>45098</v>
      </c>
      <c r="G12" s="8">
        <f>74302+214930</f>
        <v>289232</v>
      </c>
      <c r="H12" s="4">
        <f t="shared" si="1"/>
        <v>270721.152</v>
      </c>
      <c r="I12" s="2" t="s">
        <v>31</v>
      </c>
    </row>
    <row r="13" spans="1:16" x14ac:dyDescent="0.25">
      <c r="A13" s="2">
        <v>11</v>
      </c>
      <c r="B13" s="5">
        <v>44988</v>
      </c>
      <c r="C13" s="8">
        <f>25751+372138+172458</f>
        <v>570347</v>
      </c>
      <c r="D13" s="4">
        <f t="shared" si="2"/>
        <v>533844.79200000002</v>
      </c>
      <c r="E13" s="2" t="s">
        <v>23</v>
      </c>
      <c r="F13" s="5">
        <v>45128</v>
      </c>
      <c r="G13" s="8">
        <f>62244+252284+153636</f>
        <v>468164</v>
      </c>
      <c r="H13" s="4">
        <f t="shared" si="1"/>
        <v>438201.50400000002</v>
      </c>
      <c r="I13" s="2" t="s">
        <v>33</v>
      </c>
    </row>
    <row r="14" spans="1:16" x14ac:dyDescent="0.25">
      <c r="A14" s="2">
        <v>12</v>
      </c>
      <c r="B14" s="5">
        <v>45012</v>
      </c>
      <c r="C14" s="8">
        <f>154288+168508</f>
        <v>322796</v>
      </c>
      <c r="D14" s="4">
        <f t="shared" si="2"/>
        <v>302137.05600000004</v>
      </c>
      <c r="E14" s="2" t="s">
        <v>25</v>
      </c>
      <c r="F14" s="5">
        <v>45141</v>
      </c>
      <c r="G14" s="8">
        <v>53992</v>
      </c>
      <c r="H14" s="4">
        <f t="shared" si="1"/>
        <v>50536.512000000002</v>
      </c>
      <c r="I14" s="2" t="s">
        <v>34</v>
      </c>
    </row>
    <row r="15" spans="1:16" x14ac:dyDescent="0.25">
      <c r="A15" s="2">
        <v>13</v>
      </c>
      <c r="B15" s="5">
        <v>45036</v>
      </c>
      <c r="C15" s="8">
        <f>96956</f>
        <v>96956</v>
      </c>
      <c r="D15" s="4">
        <f t="shared" si="2"/>
        <v>90750.816000000006</v>
      </c>
      <c r="E15" s="2" t="s">
        <v>27</v>
      </c>
      <c r="F15" s="5">
        <v>45147</v>
      </c>
      <c r="G15" s="8">
        <v>113660</v>
      </c>
      <c r="H15" s="4">
        <f t="shared" si="1"/>
        <v>106385.76000000001</v>
      </c>
      <c r="I15" s="2" t="s">
        <v>36</v>
      </c>
    </row>
    <row r="16" spans="1:16" x14ac:dyDescent="0.25">
      <c r="A16" s="2">
        <v>14</v>
      </c>
      <c r="B16" s="5">
        <v>45061</v>
      </c>
      <c r="C16" s="8">
        <f>565286+273400</f>
        <v>838686</v>
      </c>
      <c r="D16" s="4">
        <f t="shared" si="2"/>
        <v>785010.09600000002</v>
      </c>
      <c r="E16" s="2" t="s">
        <v>28</v>
      </c>
      <c r="F16" s="5">
        <v>45154</v>
      </c>
      <c r="G16" s="8">
        <v>86886</v>
      </c>
      <c r="H16" s="4">
        <f t="shared" si="1"/>
        <v>81325.296000000002</v>
      </c>
      <c r="I16" s="2" t="s">
        <v>37</v>
      </c>
    </row>
    <row r="17" spans="1:11" x14ac:dyDescent="0.25">
      <c r="A17" s="2">
        <v>15</v>
      </c>
      <c r="B17" s="5">
        <v>45082</v>
      </c>
      <c r="C17" s="8">
        <f>92430+113590+151224+46018+551798+79790</f>
        <v>1034850</v>
      </c>
      <c r="D17" s="4">
        <f t="shared" si="2"/>
        <v>968619.60000000009</v>
      </c>
      <c r="E17" s="2" t="s">
        <v>30</v>
      </c>
      <c r="F17" s="5">
        <v>45189</v>
      </c>
      <c r="G17" s="8">
        <f>153856+52897</f>
        <v>206753</v>
      </c>
      <c r="H17" s="4">
        <f t="shared" si="1"/>
        <v>193520.80800000002</v>
      </c>
      <c r="I17" s="2" t="s">
        <v>40</v>
      </c>
    </row>
    <row r="18" spans="1:11" x14ac:dyDescent="0.25">
      <c r="A18" s="2">
        <v>16</v>
      </c>
      <c r="B18" s="5">
        <v>45107</v>
      </c>
      <c r="C18" s="8">
        <f>10191+164112+399872+300848+153868+163018</f>
        <v>1191909</v>
      </c>
      <c r="D18" s="4">
        <f t="shared" si="2"/>
        <v>1115626.824</v>
      </c>
      <c r="E18" s="2" t="s">
        <v>32</v>
      </c>
      <c r="F18" s="5">
        <v>45197</v>
      </c>
      <c r="G18" s="8">
        <v>39522</v>
      </c>
      <c r="H18" s="4">
        <f t="shared" si="1"/>
        <v>36992.592000000004</v>
      </c>
      <c r="I18" s="2" t="s">
        <v>41</v>
      </c>
    </row>
    <row r="19" spans="1:11" x14ac:dyDescent="0.25">
      <c r="A19" s="2">
        <v>17</v>
      </c>
      <c r="B19" s="5">
        <v>45142</v>
      </c>
      <c r="C19" s="8">
        <f>153996+859450+274702</f>
        <v>1288148</v>
      </c>
      <c r="D19" s="4">
        <f t="shared" si="2"/>
        <v>1205706.5280000002</v>
      </c>
      <c r="E19" s="2" t="s">
        <v>35</v>
      </c>
      <c r="F19" s="5">
        <v>45217</v>
      </c>
      <c r="G19" s="8">
        <f>225340+131834</f>
        <v>357174</v>
      </c>
      <c r="H19" s="4">
        <f>G19*$N$4</f>
        <v>347887.47599999997</v>
      </c>
      <c r="I19" s="2" t="s">
        <v>43</v>
      </c>
    </row>
    <row r="20" spans="1:11" x14ac:dyDescent="0.25">
      <c r="A20" s="2">
        <v>18</v>
      </c>
      <c r="B20" s="5">
        <v>45156</v>
      </c>
      <c r="C20" s="26">
        <v>178642</v>
      </c>
      <c r="D20" s="4">
        <f t="shared" si="2"/>
        <v>167208.91200000001</v>
      </c>
      <c r="E20" s="2" t="s">
        <v>38</v>
      </c>
      <c r="F20" s="5">
        <v>45230</v>
      </c>
      <c r="G20" s="8">
        <f>86196+167611</f>
        <v>253807</v>
      </c>
      <c r="H20" s="4">
        <f>G20*$N$4</f>
        <v>247208.01799999998</v>
      </c>
      <c r="I20" s="2" t="s">
        <v>45</v>
      </c>
    </row>
    <row r="21" spans="1:11" x14ac:dyDescent="0.25">
      <c r="A21" s="2">
        <v>19</v>
      </c>
      <c r="B21" s="5">
        <v>45167</v>
      </c>
      <c r="C21" s="8">
        <f>395340+355628+361442</f>
        <v>1112410</v>
      </c>
      <c r="D21" s="4">
        <f t="shared" si="2"/>
        <v>1041215.76</v>
      </c>
      <c r="E21" s="2" t="s">
        <v>39</v>
      </c>
      <c r="F21" s="5">
        <v>45296</v>
      </c>
      <c r="G21" s="8">
        <f>392688+149202+347180</f>
        <v>889070</v>
      </c>
      <c r="H21" s="4">
        <f>G21*$N$3</f>
        <v>832169.52</v>
      </c>
      <c r="I21" s="2" t="s">
        <v>52</v>
      </c>
    </row>
    <row r="22" spans="1:11" x14ac:dyDescent="0.25">
      <c r="A22" s="2">
        <v>20</v>
      </c>
      <c r="B22" s="5">
        <v>45208</v>
      </c>
      <c r="C22" s="8">
        <f>157715</f>
        <v>157715</v>
      </c>
      <c r="D22" s="4">
        <f t="shared" ref="D22:D51" si="3">C22*$N$4</f>
        <v>153614.41</v>
      </c>
      <c r="E22" s="2" t="s">
        <v>42</v>
      </c>
      <c r="F22" s="5">
        <v>45324</v>
      </c>
      <c r="G22" s="8">
        <f>68088+50655</f>
        <v>118743</v>
      </c>
      <c r="H22" s="4">
        <f>G22*$N$4</f>
        <v>115655.682</v>
      </c>
      <c r="I22" s="2" t="s">
        <v>54</v>
      </c>
    </row>
    <row r="23" spans="1:11" x14ac:dyDescent="0.25">
      <c r="A23" s="2">
        <v>21</v>
      </c>
      <c r="B23" s="5">
        <v>45208</v>
      </c>
      <c r="C23" s="8">
        <f>476894+52186+514766</f>
        <v>1043846</v>
      </c>
      <c r="D23" s="4">
        <f t="shared" si="3"/>
        <v>1016706.004</v>
      </c>
      <c r="E23" s="2" t="s">
        <v>42</v>
      </c>
      <c r="F23" s="5">
        <v>45362</v>
      </c>
      <c r="G23" s="8" t="s">
        <v>59</v>
      </c>
      <c r="H23" s="4">
        <f>G21*N5</f>
        <v>33784.659999999996</v>
      </c>
      <c r="I23" s="2" t="s">
        <v>58</v>
      </c>
      <c r="K23" s="28">
        <f>SUM(C3:C73,G3:G47)</f>
        <v>51070718.736000001</v>
      </c>
    </row>
    <row r="24" spans="1:11" x14ac:dyDescent="0.25">
      <c r="A24" s="2">
        <v>22</v>
      </c>
      <c r="B24" s="5">
        <v>45230</v>
      </c>
      <c r="C24" s="8">
        <f>256438+543462+127598</f>
        <v>927498</v>
      </c>
      <c r="D24" s="4">
        <f t="shared" si="3"/>
        <v>903383.05200000003</v>
      </c>
      <c r="E24" s="2" t="s">
        <v>44</v>
      </c>
      <c r="F24" s="5">
        <v>45385</v>
      </c>
      <c r="G24" s="8">
        <f>454156+293238</f>
        <v>747394</v>
      </c>
      <c r="H24" s="4">
        <f t="shared" ref="H24:H47" si="4">G24*$N$4</f>
        <v>727961.75599999994</v>
      </c>
      <c r="I24" s="2" t="s">
        <v>64</v>
      </c>
    </row>
    <row r="25" spans="1:11" x14ac:dyDescent="0.25">
      <c r="A25" s="2">
        <v>23</v>
      </c>
      <c r="B25" s="5">
        <v>45239</v>
      </c>
      <c r="C25" s="8">
        <f>152150+259030</f>
        <v>411180</v>
      </c>
      <c r="D25" s="4">
        <f t="shared" si="3"/>
        <v>400489.32</v>
      </c>
      <c r="E25" s="2" t="s">
        <v>46</v>
      </c>
      <c r="F25" s="5">
        <v>45400</v>
      </c>
      <c r="G25" s="8">
        <f>60085+31885</f>
        <v>91970</v>
      </c>
      <c r="H25" s="4">
        <f t="shared" si="4"/>
        <v>89578.78</v>
      </c>
      <c r="I25" s="2" t="s">
        <v>67</v>
      </c>
    </row>
    <row r="26" spans="1:11" x14ac:dyDescent="0.25">
      <c r="A26" s="2">
        <v>24</v>
      </c>
      <c r="B26" s="5">
        <v>45264</v>
      </c>
      <c r="C26" s="8">
        <f>16292+950+22640+16360+28050+37060</f>
        <v>121352</v>
      </c>
      <c r="D26" s="4">
        <f t="shared" si="3"/>
        <v>118196.848</v>
      </c>
      <c r="E26" s="2" t="s">
        <v>47</v>
      </c>
      <c r="F26" s="5">
        <v>45447</v>
      </c>
      <c r="G26" s="8">
        <f>247378+239440</f>
        <v>486818</v>
      </c>
      <c r="H26" s="4">
        <f t="shared" si="4"/>
        <v>474160.73199999996</v>
      </c>
      <c r="I26" s="2" t="s">
        <v>72</v>
      </c>
    </row>
    <row r="27" spans="1:11" x14ac:dyDescent="0.25">
      <c r="A27" s="2">
        <v>25</v>
      </c>
      <c r="B27" s="5">
        <v>45274</v>
      </c>
      <c r="C27" s="8">
        <f>190295</f>
        <v>190295</v>
      </c>
      <c r="D27" s="4">
        <f t="shared" si="3"/>
        <v>185347.33</v>
      </c>
      <c r="E27" s="2" t="s">
        <v>48</v>
      </c>
      <c r="F27" s="5">
        <v>45497</v>
      </c>
      <c r="G27" s="8">
        <f>51284+564662</f>
        <v>615946</v>
      </c>
      <c r="H27" s="4">
        <f t="shared" si="4"/>
        <v>599931.40399999998</v>
      </c>
      <c r="I27" s="2" t="s">
        <v>75</v>
      </c>
    </row>
    <row r="28" spans="1:11" x14ac:dyDescent="0.25">
      <c r="A28" s="2">
        <v>26</v>
      </c>
      <c r="B28" s="5">
        <v>45274</v>
      </c>
      <c r="C28" s="8">
        <f>940834+614322+196460</f>
        <v>1751616</v>
      </c>
      <c r="D28" s="4">
        <f t="shared" si="3"/>
        <v>1706073.9839999999</v>
      </c>
      <c r="E28" s="2" t="s">
        <v>48</v>
      </c>
      <c r="F28" s="5">
        <v>45497</v>
      </c>
      <c r="G28" s="8">
        <f>15936+151143+49143</f>
        <v>216222</v>
      </c>
      <c r="H28" s="4">
        <f t="shared" si="4"/>
        <v>210600.228</v>
      </c>
      <c r="I28" s="2" t="s">
        <v>76</v>
      </c>
    </row>
    <row r="29" spans="1:11" x14ac:dyDescent="0.25">
      <c r="A29" s="2">
        <v>27</v>
      </c>
      <c r="B29" s="5">
        <v>45278</v>
      </c>
      <c r="C29" s="8">
        <v>283568.11</v>
      </c>
      <c r="D29" s="4">
        <f t="shared" si="3"/>
        <v>276195.33914</v>
      </c>
      <c r="E29" s="2" t="s">
        <v>49</v>
      </c>
      <c r="F29" s="5">
        <v>45497</v>
      </c>
      <c r="G29" s="8">
        <f>293472+304414+128700+114324</f>
        <v>840910</v>
      </c>
      <c r="H29" s="4">
        <f t="shared" si="4"/>
        <v>819046.34</v>
      </c>
      <c r="I29" s="2" t="s">
        <v>79</v>
      </c>
    </row>
    <row r="30" spans="1:11" x14ac:dyDescent="0.25">
      <c r="A30" s="2">
        <v>28</v>
      </c>
      <c r="B30" s="5">
        <v>45288</v>
      </c>
      <c r="C30" s="8">
        <f>37250+58284</f>
        <v>95534</v>
      </c>
      <c r="D30" s="4">
        <f t="shared" si="3"/>
        <v>93050.115999999995</v>
      </c>
      <c r="E30" s="2" t="s">
        <v>50</v>
      </c>
      <c r="F30" s="5">
        <v>45502</v>
      </c>
      <c r="G30" s="8">
        <f>256758+53206+356760+151229</f>
        <v>817953</v>
      </c>
      <c r="H30" s="4">
        <f t="shared" si="4"/>
        <v>796686.22199999995</v>
      </c>
      <c r="I30" s="2" t="s">
        <v>81</v>
      </c>
    </row>
    <row r="31" spans="1:11" x14ac:dyDescent="0.25">
      <c r="A31" s="2">
        <v>29</v>
      </c>
      <c r="B31" s="5">
        <v>45296</v>
      </c>
      <c r="C31" s="8">
        <f>66341+77300+20419</f>
        <v>164060</v>
      </c>
      <c r="D31" s="4">
        <f t="shared" si="3"/>
        <v>159794.44</v>
      </c>
      <c r="E31" s="2" t="s">
        <v>51</v>
      </c>
      <c r="F31" s="5">
        <v>45518</v>
      </c>
      <c r="G31" s="8">
        <f>152402+228232</f>
        <v>380634</v>
      </c>
      <c r="H31" s="4">
        <f t="shared" si="4"/>
        <v>370737.516</v>
      </c>
      <c r="I31" s="2" t="s">
        <v>83</v>
      </c>
    </row>
    <row r="32" spans="1:11" x14ac:dyDescent="0.25">
      <c r="A32" s="2">
        <v>30</v>
      </c>
      <c r="B32" s="5">
        <v>45300</v>
      </c>
      <c r="C32" s="8">
        <f>152126+140704</f>
        <v>292830</v>
      </c>
      <c r="D32" s="4">
        <f t="shared" si="3"/>
        <v>285216.42</v>
      </c>
      <c r="E32" s="2" t="s">
        <v>53</v>
      </c>
      <c r="F32" s="5">
        <v>45558</v>
      </c>
      <c r="G32" s="8">
        <f>201724+149694+174134</f>
        <v>525552</v>
      </c>
      <c r="H32" s="4">
        <f t="shared" si="4"/>
        <v>511887.64799999999</v>
      </c>
      <c r="I32" s="2" t="s">
        <v>85</v>
      </c>
    </row>
    <row r="33" spans="1:9" x14ac:dyDescent="0.25">
      <c r="A33" s="2">
        <v>31</v>
      </c>
      <c r="B33" s="5">
        <v>45331</v>
      </c>
      <c r="C33" s="8">
        <f>257138+406170+323848+361200+104426</f>
        <v>1452782</v>
      </c>
      <c r="D33" s="4">
        <f t="shared" si="3"/>
        <v>1415009.6680000001</v>
      </c>
      <c r="E33" s="2" t="s">
        <v>55</v>
      </c>
      <c r="F33" s="5">
        <v>45561</v>
      </c>
      <c r="G33" s="8">
        <f>464549+282258</f>
        <v>746807</v>
      </c>
      <c r="H33" s="4">
        <f t="shared" si="4"/>
        <v>727390.01800000004</v>
      </c>
      <c r="I33" s="2" t="s">
        <v>87</v>
      </c>
    </row>
    <row r="34" spans="1:9" x14ac:dyDescent="0.25">
      <c r="A34" s="2">
        <v>32</v>
      </c>
      <c r="B34" s="5">
        <v>45371</v>
      </c>
      <c r="C34" s="8">
        <f>247838+357592</f>
        <v>605430</v>
      </c>
      <c r="D34" s="4">
        <f t="shared" si="3"/>
        <v>589688.81999999995</v>
      </c>
      <c r="E34" s="2" t="s">
        <v>62</v>
      </c>
      <c r="F34" s="5">
        <v>45580</v>
      </c>
      <c r="G34" s="8">
        <f>124980+102960</f>
        <v>227940</v>
      </c>
      <c r="H34" s="4">
        <f t="shared" si="4"/>
        <v>222013.56</v>
      </c>
      <c r="I34" s="2" t="s">
        <v>88</v>
      </c>
    </row>
    <row r="35" spans="1:9" x14ac:dyDescent="0.25">
      <c r="A35" s="2">
        <v>33</v>
      </c>
      <c r="B35" s="5">
        <v>45365</v>
      </c>
      <c r="C35" s="8">
        <v>185665</v>
      </c>
      <c r="D35" s="4">
        <f t="shared" si="3"/>
        <v>180837.71</v>
      </c>
      <c r="E35" s="2" t="s">
        <v>61</v>
      </c>
      <c r="F35" s="5">
        <v>45594</v>
      </c>
      <c r="G35" s="8">
        <f>16018+15238+16634+16137+16955+132936+102984</f>
        <v>316902</v>
      </c>
      <c r="H35" s="4">
        <f t="shared" si="4"/>
        <v>308662.54800000001</v>
      </c>
      <c r="I35" s="2" t="s">
        <v>92</v>
      </c>
    </row>
    <row r="36" spans="1:9" x14ac:dyDescent="0.25">
      <c r="A36" s="2">
        <v>34</v>
      </c>
      <c r="B36" s="5">
        <v>45385</v>
      </c>
      <c r="C36" s="8">
        <f>85315+113421</f>
        <v>198736</v>
      </c>
      <c r="D36" s="4">
        <f t="shared" si="3"/>
        <v>193568.864</v>
      </c>
      <c r="E36" s="2" t="s">
        <v>63</v>
      </c>
      <c r="F36" s="5">
        <v>45610</v>
      </c>
      <c r="G36" s="8">
        <f>223964+201964+106840+330082</f>
        <v>862850</v>
      </c>
      <c r="H36" s="4">
        <f t="shared" si="4"/>
        <v>840415.9</v>
      </c>
      <c r="I36" s="2" t="s">
        <v>93</v>
      </c>
    </row>
    <row r="37" spans="1:9" x14ac:dyDescent="0.25">
      <c r="A37" s="2">
        <v>35</v>
      </c>
      <c r="B37" s="5">
        <v>45385</v>
      </c>
      <c r="C37" s="8">
        <v>86175</v>
      </c>
      <c r="D37" s="4">
        <f t="shared" si="3"/>
        <v>83934.45</v>
      </c>
      <c r="E37" s="2" t="s">
        <v>65</v>
      </c>
      <c r="F37" s="5">
        <v>45624</v>
      </c>
      <c r="G37" s="8">
        <f>150288+336124+70392</f>
        <v>556804</v>
      </c>
      <c r="H37" s="4">
        <f t="shared" si="4"/>
        <v>542327.09600000002</v>
      </c>
      <c r="I37" s="2" t="s">
        <v>96</v>
      </c>
    </row>
    <row r="38" spans="1:9" x14ac:dyDescent="0.25">
      <c r="A38" s="2">
        <v>36</v>
      </c>
      <c r="B38" s="5">
        <v>45392</v>
      </c>
      <c r="C38" s="8">
        <f>250276+52450+212966+521776</f>
        <v>1037468</v>
      </c>
      <c r="D38" s="4">
        <f t="shared" si="3"/>
        <v>1010493.8319999999</v>
      </c>
      <c r="E38" s="2" t="s">
        <v>66</v>
      </c>
      <c r="F38" s="5">
        <v>45638</v>
      </c>
      <c r="G38" s="8">
        <f>357298+103086+202000+368343</f>
        <v>1030727</v>
      </c>
      <c r="H38" s="4">
        <f t="shared" si="4"/>
        <v>1003928.098</v>
      </c>
      <c r="I38" s="2" t="s">
        <v>99</v>
      </c>
    </row>
    <row r="39" spans="1:9" x14ac:dyDescent="0.25">
      <c r="A39" s="2">
        <v>37</v>
      </c>
      <c r="B39" s="5">
        <v>45422</v>
      </c>
      <c r="C39" s="8">
        <f>102180+795202</f>
        <v>897382</v>
      </c>
      <c r="D39" s="4">
        <f t="shared" si="3"/>
        <v>874050.06799999997</v>
      </c>
      <c r="E39" s="2" t="s">
        <v>68</v>
      </c>
      <c r="F39" s="5">
        <v>45652</v>
      </c>
      <c r="G39" s="8">
        <f>50876+178941</f>
        <v>229817</v>
      </c>
      <c r="H39" s="4">
        <f t="shared" si="4"/>
        <v>223841.758</v>
      </c>
      <c r="I39" s="2" t="s">
        <v>102</v>
      </c>
    </row>
    <row r="40" spans="1:9" x14ac:dyDescent="0.25">
      <c r="A40" s="2">
        <v>38</v>
      </c>
      <c r="B40" s="5">
        <v>45421</v>
      </c>
      <c r="C40" s="8">
        <f>451478+316708</f>
        <v>768186</v>
      </c>
      <c r="D40" s="4">
        <f t="shared" si="3"/>
        <v>748213.16399999999</v>
      </c>
      <c r="E40" s="2" t="s">
        <v>69</v>
      </c>
      <c r="F40" s="5">
        <v>45679</v>
      </c>
      <c r="G40" s="8">
        <f>3114+3516+15138+275406+102396+20448</f>
        <v>420018</v>
      </c>
      <c r="H40" s="4">
        <f t="shared" si="4"/>
        <v>409097.53200000001</v>
      </c>
      <c r="I40" s="2" t="s">
        <v>104</v>
      </c>
    </row>
    <row r="41" spans="1:9" x14ac:dyDescent="0.25">
      <c r="A41" s="2">
        <v>39</v>
      </c>
      <c r="B41" s="5">
        <v>45428</v>
      </c>
      <c r="C41" s="8">
        <f>159580+270706+102588</f>
        <v>532874</v>
      </c>
      <c r="D41" s="4">
        <f t="shared" si="3"/>
        <v>519019.27600000001</v>
      </c>
      <c r="E41" s="2" t="s">
        <v>70</v>
      </c>
      <c r="F41" s="5">
        <v>45700</v>
      </c>
      <c r="G41" s="8">
        <f>8866+11144+9854</f>
        <v>29864</v>
      </c>
      <c r="H41" s="4">
        <f t="shared" si="4"/>
        <v>29087.536</v>
      </c>
      <c r="I41" s="2" t="s">
        <v>109</v>
      </c>
    </row>
    <row r="42" spans="1:9" x14ac:dyDescent="0.25">
      <c r="A42" s="2">
        <v>40</v>
      </c>
      <c r="B42" s="5">
        <v>45439</v>
      </c>
      <c r="C42" s="8">
        <f>243188+247810</f>
        <v>490998</v>
      </c>
      <c r="D42" s="4">
        <f t="shared" si="3"/>
        <v>478232.05199999997</v>
      </c>
      <c r="E42" s="2" t="s">
        <v>71</v>
      </c>
      <c r="F42" s="5">
        <v>45716</v>
      </c>
      <c r="G42" s="8">
        <f>18144+1676+4824+5914+13172</f>
        <v>43730</v>
      </c>
      <c r="H42" s="4">
        <f t="shared" si="4"/>
        <v>42593.02</v>
      </c>
      <c r="I42" s="2" t="s">
        <v>110</v>
      </c>
    </row>
    <row r="43" spans="1:9" x14ac:dyDescent="0.25">
      <c r="A43" s="2">
        <v>41</v>
      </c>
      <c r="B43" s="5">
        <v>45455</v>
      </c>
      <c r="C43" s="8">
        <f>235830+290948</f>
        <v>526778</v>
      </c>
      <c r="D43" s="4">
        <f t="shared" si="3"/>
        <v>513081.772</v>
      </c>
      <c r="E43" s="2" t="s">
        <v>73</v>
      </c>
      <c r="F43" s="5">
        <v>45728</v>
      </c>
      <c r="G43" s="8">
        <v>39978</v>
      </c>
      <c r="H43" s="4">
        <f t="shared" si="4"/>
        <v>38938.572</v>
      </c>
      <c r="I43" s="2" t="s">
        <v>111</v>
      </c>
    </row>
    <row r="44" spans="1:9" x14ac:dyDescent="0.25">
      <c r="A44" s="2">
        <v>42</v>
      </c>
      <c r="B44" s="5">
        <v>45460</v>
      </c>
      <c r="C44" s="8">
        <v>64696</v>
      </c>
      <c r="D44" s="4">
        <f t="shared" si="3"/>
        <v>63013.903999999995</v>
      </c>
      <c r="E44" s="2" t="s">
        <v>74</v>
      </c>
      <c r="F44" s="5">
        <v>45747</v>
      </c>
      <c r="G44" s="8">
        <f>19397+12488+1453+11083</f>
        <v>44421</v>
      </c>
      <c r="H44" s="4">
        <f t="shared" si="4"/>
        <v>43266.053999999996</v>
      </c>
      <c r="I44" s="2" t="s">
        <v>114</v>
      </c>
    </row>
    <row r="45" spans="1:9" x14ac:dyDescent="0.25">
      <c r="A45" s="2">
        <v>43</v>
      </c>
      <c r="B45" s="5">
        <v>45497</v>
      </c>
      <c r="C45" s="8">
        <f>316810+305446</f>
        <v>622256</v>
      </c>
      <c r="D45" s="4">
        <f t="shared" si="3"/>
        <v>606077.34400000004</v>
      </c>
      <c r="E45" s="2" t="s">
        <v>77</v>
      </c>
      <c r="F45" s="5">
        <v>45771</v>
      </c>
      <c r="G45" s="8">
        <v>117841</v>
      </c>
      <c r="H45" s="4">
        <f t="shared" si="4"/>
        <v>114777.13399999999</v>
      </c>
      <c r="I45" s="2" t="s">
        <v>116</v>
      </c>
    </row>
    <row r="46" spans="1:9" x14ac:dyDescent="0.25">
      <c r="A46" s="2">
        <v>44</v>
      </c>
      <c r="B46" s="5">
        <v>45497</v>
      </c>
      <c r="C46" s="8">
        <f>260012+304548</f>
        <v>564560</v>
      </c>
      <c r="D46" s="4">
        <f t="shared" si="3"/>
        <v>549881.43999999994</v>
      </c>
      <c r="E46" s="2" t="s">
        <v>78</v>
      </c>
      <c r="F46" s="5">
        <v>45792</v>
      </c>
      <c r="G46" s="8">
        <f>9453+13907+2691+12638+13682</f>
        <v>52371</v>
      </c>
      <c r="H46" s="4">
        <f t="shared" si="4"/>
        <v>51009.353999999999</v>
      </c>
      <c r="I46" s="2" t="s">
        <v>119</v>
      </c>
    </row>
    <row r="47" spans="1:9" x14ac:dyDescent="0.25">
      <c r="A47" s="2">
        <v>45</v>
      </c>
      <c r="B47" s="5">
        <v>45498</v>
      </c>
      <c r="C47" s="8">
        <f>203008+303838+221200</f>
        <v>728046</v>
      </c>
      <c r="D47" s="4">
        <f t="shared" si="3"/>
        <v>709116.804</v>
      </c>
      <c r="E47" s="2" t="s">
        <v>80</v>
      </c>
      <c r="F47" s="5">
        <v>45792</v>
      </c>
      <c r="G47" s="8">
        <f>4407+12612+8970</f>
        <v>25989</v>
      </c>
      <c r="H47" s="4">
        <f t="shared" si="4"/>
        <v>25313.286</v>
      </c>
      <c r="I47" s="2" t="s">
        <v>119</v>
      </c>
    </row>
    <row r="48" spans="1:9" x14ac:dyDescent="0.25">
      <c r="A48" s="2">
        <v>46</v>
      </c>
      <c r="B48" s="5">
        <v>45511</v>
      </c>
      <c r="C48" s="8">
        <v>59169</v>
      </c>
      <c r="D48" s="4">
        <f t="shared" si="3"/>
        <v>57630.606</v>
      </c>
      <c r="E48" s="2" t="s">
        <v>82</v>
      </c>
    </row>
    <row r="49" spans="1:5" x14ac:dyDescent="0.25">
      <c r="A49" s="2">
        <v>47</v>
      </c>
      <c r="B49" s="5">
        <v>45558</v>
      </c>
      <c r="C49" s="8">
        <f>132720+295864+382778+86078</f>
        <v>897440</v>
      </c>
      <c r="D49" s="4">
        <f t="shared" si="3"/>
        <v>874106.55999999994</v>
      </c>
      <c r="E49" s="2" t="s">
        <v>84</v>
      </c>
    </row>
    <row r="50" spans="1:5" x14ac:dyDescent="0.25">
      <c r="A50" s="2">
        <v>48</v>
      </c>
      <c r="B50" s="5">
        <v>45561</v>
      </c>
      <c r="C50" s="8">
        <f>178758+541836+556528</f>
        <v>1277122</v>
      </c>
      <c r="D50" s="4">
        <f t="shared" si="3"/>
        <v>1243916.828</v>
      </c>
      <c r="E50" s="2" t="s">
        <v>86</v>
      </c>
    </row>
    <row r="51" spans="1:5" x14ac:dyDescent="0.25">
      <c r="A51" s="2">
        <v>49</v>
      </c>
      <c r="B51" s="5">
        <v>45581</v>
      </c>
      <c r="C51" s="8">
        <v>31194</v>
      </c>
      <c r="D51" s="4">
        <f t="shared" si="3"/>
        <v>30382.955999999998</v>
      </c>
      <c r="E51" s="2" t="s">
        <v>90</v>
      </c>
    </row>
    <row r="52" spans="1:5" x14ac:dyDescent="0.25">
      <c r="A52" s="2">
        <v>50</v>
      </c>
      <c r="B52" s="5">
        <v>45581</v>
      </c>
      <c r="C52" s="8">
        <v>110190</v>
      </c>
      <c r="D52" s="4">
        <f t="shared" ref="D52:D53" si="5">C52*$N$4</f>
        <v>107325.06</v>
      </c>
      <c r="E52" s="2" t="s">
        <v>90</v>
      </c>
    </row>
    <row r="53" spans="1:5" x14ac:dyDescent="0.25">
      <c r="A53" s="2">
        <v>51</v>
      </c>
      <c r="B53" s="5">
        <v>45581</v>
      </c>
      <c r="C53" s="8">
        <v>36754</v>
      </c>
      <c r="D53" s="4">
        <f t="shared" si="5"/>
        <v>35798.396000000001</v>
      </c>
      <c r="E53" s="2" t="s">
        <v>90</v>
      </c>
    </row>
    <row r="54" spans="1:5" x14ac:dyDescent="0.25">
      <c r="A54" s="2">
        <v>52</v>
      </c>
      <c r="B54" s="5">
        <v>45580</v>
      </c>
      <c r="C54" s="8">
        <f>135769+345080+318516</f>
        <v>799365</v>
      </c>
      <c r="D54" s="4">
        <f t="shared" ref="D54:D70" si="6">C54*$N$4</f>
        <v>778581.51</v>
      </c>
      <c r="E54" s="2" t="s">
        <v>89</v>
      </c>
    </row>
    <row r="55" spans="1:5" x14ac:dyDescent="0.25">
      <c r="A55" s="2">
        <v>53</v>
      </c>
      <c r="B55" s="5">
        <v>45583</v>
      </c>
      <c r="C55" s="8">
        <v>76719</v>
      </c>
      <c r="D55" s="4">
        <f t="shared" si="6"/>
        <v>74724.305999999997</v>
      </c>
      <c r="E55" s="2" t="s">
        <v>91</v>
      </c>
    </row>
    <row r="56" spans="1:5" x14ac:dyDescent="0.25">
      <c r="A56" s="2">
        <v>54</v>
      </c>
      <c r="B56" s="5">
        <v>45615</v>
      </c>
      <c r="C56" s="8">
        <v>110836</v>
      </c>
      <c r="D56" s="4">
        <f t="shared" si="6"/>
        <v>107954.264</v>
      </c>
      <c r="E56" s="2" t="s">
        <v>95</v>
      </c>
    </row>
    <row r="57" spans="1:5" x14ac:dyDescent="0.25">
      <c r="A57" s="2">
        <v>55</v>
      </c>
      <c r="B57" s="5">
        <v>45610</v>
      </c>
      <c r="C57" s="8">
        <f>501734+114423</f>
        <v>616157</v>
      </c>
      <c r="D57" s="4">
        <f t="shared" si="6"/>
        <v>600136.91799999995</v>
      </c>
      <c r="E57" s="2" t="s">
        <v>94</v>
      </c>
    </row>
    <row r="58" spans="1:5" x14ac:dyDescent="0.25">
      <c r="A58" s="2">
        <v>56</v>
      </c>
      <c r="B58" s="5">
        <v>45637</v>
      </c>
      <c r="C58" s="8">
        <f>44319+38640+304779</f>
        <v>387738</v>
      </c>
      <c r="D58" s="4">
        <f t="shared" si="6"/>
        <v>377656.81199999998</v>
      </c>
      <c r="E58" s="2" t="s">
        <v>98</v>
      </c>
    </row>
    <row r="59" spans="1:5" x14ac:dyDescent="0.25">
      <c r="A59" s="2">
        <v>57</v>
      </c>
      <c r="B59" s="5">
        <v>45632</v>
      </c>
      <c r="C59" s="8">
        <v>90682</v>
      </c>
      <c r="D59" s="4">
        <f t="shared" si="6"/>
        <v>88324.267999999996</v>
      </c>
      <c r="E59" s="2" t="s">
        <v>97</v>
      </c>
    </row>
    <row r="60" spans="1:5" x14ac:dyDescent="0.25">
      <c r="A60" s="2">
        <v>58</v>
      </c>
      <c r="B60" s="5">
        <v>45643</v>
      </c>
      <c r="C60" s="8">
        <v>240829</v>
      </c>
      <c r="D60" s="4">
        <f t="shared" si="6"/>
        <v>234567.446</v>
      </c>
      <c r="E60" s="2" t="s">
        <v>100</v>
      </c>
    </row>
    <row r="61" spans="1:5" x14ac:dyDescent="0.25">
      <c r="A61" s="2">
        <v>59</v>
      </c>
      <c r="B61" s="5">
        <v>45652</v>
      </c>
      <c r="C61" s="8">
        <v>1816313.91</v>
      </c>
      <c r="D61" s="4">
        <f t="shared" si="6"/>
        <v>1769089.7483399999</v>
      </c>
      <c r="E61" s="2" t="s">
        <v>101</v>
      </c>
    </row>
    <row r="62" spans="1:5" x14ac:dyDescent="0.25">
      <c r="A62" s="2">
        <v>60</v>
      </c>
      <c r="B62" s="5">
        <v>45653</v>
      </c>
      <c r="C62" s="8">
        <v>131437</v>
      </c>
      <c r="D62" s="4">
        <f t="shared" si="6"/>
        <v>128019.63799999999</v>
      </c>
      <c r="E62" s="2" t="s">
        <v>103</v>
      </c>
    </row>
    <row r="63" spans="1:5" x14ac:dyDescent="0.25">
      <c r="A63" s="2">
        <v>61</v>
      </c>
      <c r="B63" s="5">
        <v>45693</v>
      </c>
      <c r="C63" s="8">
        <v>191444</v>
      </c>
      <c r="D63" s="4">
        <f t="shared" si="6"/>
        <v>186466.45600000001</v>
      </c>
      <c r="E63" s="2" t="s">
        <v>105</v>
      </c>
    </row>
    <row r="64" spans="1:5" x14ac:dyDescent="0.25">
      <c r="A64" s="2">
        <v>62</v>
      </c>
      <c r="B64" s="5">
        <v>45700</v>
      </c>
      <c r="C64" s="8">
        <v>148772</v>
      </c>
      <c r="D64" s="4">
        <f t="shared" si="6"/>
        <v>144903.92799999999</v>
      </c>
      <c r="E64" s="2" t="s">
        <v>107</v>
      </c>
    </row>
    <row r="65" spans="1:5" x14ac:dyDescent="0.25">
      <c r="A65" s="2">
        <v>63</v>
      </c>
      <c r="B65" s="5">
        <v>45699</v>
      </c>
      <c r="C65" s="8">
        <v>159130</v>
      </c>
      <c r="D65" s="4">
        <f t="shared" si="6"/>
        <v>154992.62</v>
      </c>
      <c r="E65" s="2" t="s">
        <v>106</v>
      </c>
    </row>
    <row r="66" spans="1:5" x14ac:dyDescent="0.25">
      <c r="A66" s="2">
        <v>64</v>
      </c>
      <c r="B66" s="5">
        <v>45700</v>
      </c>
      <c r="C66" s="8">
        <v>98787</v>
      </c>
      <c r="D66" s="4">
        <f t="shared" si="6"/>
        <v>96218.538</v>
      </c>
      <c r="E66" s="2" t="s">
        <v>108</v>
      </c>
    </row>
    <row r="67" spans="1:5" x14ac:dyDescent="0.25">
      <c r="A67" s="2">
        <v>65</v>
      </c>
      <c r="B67" s="5">
        <v>45735</v>
      </c>
      <c r="C67" s="8">
        <v>237042</v>
      </c>
      <c r="D67" s="4">
        <f t="shared" si="6"/>
        <v>230878.908</v>
      </c>
      <c r="E67" s="2" t="s">
        <v>112</v>
      </c>
    </row>
    <row r="68" spans="1:5" x14ac:dyDescent="0.25">
      <c r="A68" s="2">
        <v>66</v>
      </c>
      <c r="B68" s="5">
        <v>45742</v>
      </c>
      <c r="C68" s="8">
        <v>102063</v>
      </c>
      <c r="D68" s="4">
        <f t="shared" si="6"/>
        <v>99409.361999999994</v>
      </c>
      <c r="E68" s="2" t="s">
        <v>113</v>
      </c>
    </row>
    <row r="69" spans="1:5" x14ac:dyDescent="0.25">
      <c r="A69" s="2">
        <v>67</v>
      </c>
      <c r="B69" s="5">
        <v>45742</v>
      </c>
      <c r="C69" s="8">
        <v>102414</v>
      </c>
      <c r="D69" s="4">
        <f t="shared" si="6"/>
        <v>99751.236000000004</v>
      </c>
      <c r="E69" s="2" t="s">
        <v>113</v>
      </c>
    </row>
    <row r="70" spans="1:5" x14ac:dyDescent="0.25">
      <c r="A70" s="2">
        <v>68</v>
      </c>
      <c r="B70" s="5">
        <v>45769</v>
      </c>
      <c r="C70" s="8">
        <v>131430</v>
      </c>
      <c r="D70" s="4">
        <f t="shared" si="6"/>
        <v>128012.81999999999</v>
      </c>
      <c r="E70" s="2" t="s">
        <v>115</v>
      </c>
    </row>
    <row r="71" spans="1:5" x14ac:dyDescent="0.25">
      <c r="A71" s="2">
        <v>69</v>
      </c>
      <c r="B71" s="5">
        <v>45784</v>
      </c>
      <c r="C71" s="8" t="s">
        <v>59</v>
      </c>
      <c r="D71" s="4">
        <f>222532.67+26428.05</f>
        <v>248960.72</v>
      </c>
      <c r="E71" s="2" t="s">
        <v>117</v>
      </c>
    </row>
    <row r="72" spans="1:5" x14ac:dyDescent="0.25">
      <c r="A72" s="10">
        <v>70</v>
      </c>
      <c r="B72" s="11">
        <v>45792</v>
      </c>
      <c r="C72" s="12" t="s">
        <v>59</v>
      </c>
      <c r="D72" s="13">
        <f>28308.05+28308.05+28308.05+28308.05</f>
        <v>113232.2</v>
      </c>
      <c r="E72" s="10" t="s">
        <v>120</v>
      </c>
    </row>
    <row r="73" spans="1:5" x14ac:dyDescent="0.25">
      <c r="A73" s="2">
        <v>71</v>
      </c>
      <c r="B73" s="5">
        <v>45799</v>
      </c>
      <c r="C73" s="8">
        <v>650296</v>
      </c>
      <c r="D73" s="4">
        <f>C73*$N$6</f>
        <v>656863.98959999997</v>
      </c>
      <c r="E73" s="2" t="s">
        <v>121</v>
      </c>
    </row>
    <row r="74" spans="1:5" x14ac:dyDescent="0.25">
      <c r="A74" s="2">
        <v>72</v>
      </c>
    </row>
    <row r="75" spans="1:5" x14ac:dyDescent="0.25">
      <c r="A75" s="2">
        <v>73</v>
      </c>
    </row>
    <row r="76" spans="1:5" x14ac:dyDescent="0.25">
      <c r="A76" s="2">
        <v>74</v>
      </c>
    </row>
    <row r="77" spans="1:5" x14ac:dyDescent="0.25">
      <c r="A77" s="2">
        <v>75</v>
      </c>
    </row>
    <row r="78" spans="1:5" x14ac:dyDescent="0.25">
      <c r="A78" s="2">
        <v>76</v>
      </c>
    </row>
    <row r="79" spans="1:5" x14ac:dyDescent="0.25">
      <c r="A79" s="2">
        <v>77</v>
      </c>
    </row>
    <row r="80" spans="1:5" x14ac:dyDescent="0.25">
      <c r="A80" s="2">
        <v>78</v>
      </c>
    </row>
    <row r="81" spans="1:1" x14ac:dyDescent="0.25">
      <c r="A81" s="2">
        <v>79</v>
      </c>
    </row>
    <row r="82" spans="1:1" x14ac:dyDescent="0.25">
      <c r="A82" s="2">
        <v>80</v>
      </c>
    </row>
    <row r="83" spans="1:1" x14ac:dyDescent="0.25">
      <c r="A83" s="2">
        <v>81</v>
      </c>
    </row>
  </sheetData>
  <mergeCells count="2">
    <mergeCell ref="F1:I1"/>
    <mergeCell ref="B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ignoredErrors>
    <ignoredError sqref="H23 H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ES DIGITAL</vt:lpstr>
      <vt:lpstr>Memória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de Almeida Ferraz</dc:creator>
  <cp:lastModifiedBy>Tarek Salla Rodrigues Rocha</cp:lastModifiedBy>
  <dcterms:created xsi:type="dcterms:W3CDTF">2025-05-22T13:53:59Z</dcterms:created>
  <dcterms:modified xsi:type="dcterms:W3CDTF">2025-05-29T20:06:49Z</dcterms:modified>
</cp:coreProperties>
</file>